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illip Beardmore.DESKTOP-DB36V9S\Dropbox (SEC)\Strata Business\Projects\Electricity Authority\2018-19 EA TPM CBA (Shared)\Step 4\CBA files for release\Costs\"/>
    </mc:Choice>
  </mc:AlternateContent>
  <xr:revisionPtr revIDLastSave="0" documentId="13_ncr:1_{43D9DE4A-C9B1-4F6B-A67F-F3CD8020B879}" xr6:coauthVersionLast="43" xr6:coauthVersionMax="43" xr10:uidLastSave="{00000000-0000-0000-0000-000000000000}"/>
  <bookViews>
    <workbookView xWindow="-120" yWindow="-120" windowWidth="29040" windowHeight="17790" tabRatio="945" xr2:uid="{00000000-000D-0000-FFFF-FFFF00000000}"/>
  </bookViews>
  <sheets>
    <sheet name="TPM development cost estimate" sheetId="2" r:id="rId1"/>
    <sheet name="TPM implmentation cost estimate" sheetId="3" r:id="rId2"/>
    <sheet name="TPM ongoing cost estimate" sheetId="6" r:id="rId3"/>
    <sheet name="Transpower's 2016 cost estimate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7" i="2" l="1"/>
  <c r="I57" i="2"/>
  <c r="F51" i="2"/>
  <c r="D51" i="2" l="1"/>
  <c r="I59" i="2"/>
  <c r="N59" i="2" s="1"/>
  <c r="P59" i="2" s="1"/>
  <c r="I58" i="2"/>
  <c r="N58" i="2" s="1"/>
  <c r="P58" i="2" s="1"/>
  <c r="O58" i="2" l="1"/>
  <c r="O59" i="2"/>
  <c r="N60" i="2"/>
  <c r="O60" i="2" l="1"/>
  <c r="P60" i="2"/>
  <c r="E62" i="2"/>
  <c r="D62" i="2" s="1"/>
  <c r="E61" i="2"/>
  <c r="D61" i="2" s="1"/>
  <c r="I61" i="2" l="1"/>
  <c r="I62" i="2"/>
  <c r="E70" i="1" l="1"/>
  <c r="D164" i="1"/>
  <c r="C48" i="1"/>
  <c r="E9" i="3"/>
  <c r="G81" i="2"/>
  <c r="B23" i="3" l="1"/>
  <c r="D25" i="3" s="1"/>
  <c r="E10" i="3"/>
  <c r="E13" i="3"/>
  <c r="D15" i="3"/>
  <c r="F11" i="3" s="1"/>
  <c r="C15" i="3"/>
  <c r="E12" i="3"/>
  <c r="E11" i="3"/>
  <c r="G82" i="2"/>
  <c r="G80" i="2"/>
  <c r="G79" i="2"/>
  <c r="G83" i="2"/>
  <c r="D21" i="2"/>
  <c r="D20" i="2"/>
  <c r="E42" i="2"/>
  <c r="D42" i="2" s="1"/>
  <c r="E41" i="2"/>
  <c r="E72" i="2" s="1"/>
  <c r="H70" i="2"/>
  <c r="G70" i="2"/>
  <c r="F15" i="2"/>
  <c r="I11" i="2"/>
  <c r="I10" i="2"/>
  <c r="G8" i="2"/>
  <c r="D24" i="3" l="1"/>
  <c r="E15" i="3"/>
  <c r="E73" i="2"/>
  <c r="D73" i="2" s="1"/>
  <c r="F9" i="3"/>
  <c r="H15" i="3"/>
  <c r="F10" i="3"/>
  <c r="G84" i="2"/>
  <c r="D72" i="2"/>
  <c r="E86" i="2"/>
  <c r="D41" i="2"/>
  <c r="E87" i="2"/>
  <c r="E95" i="6"/>
  <c r="D98" i="6"/>
  <c r="D96" i="6"/>
  <c r="D95" i="6"/>
  <c r="K99" i="6"/>
  <c r="O99" i="6"/>
  <c r="S99" i="6"/>
  <c r="AA99" i="6"/>
  <c r="AE99" i="6"/>
  <c r="AI99" i="6"/>
  <c r="O100" i="6"/>
  <c r="S100" i="6"/>
  <c r="W100" i="6"/>
  <c r="AE100" i="6"/>
  <c r="AI100" i="6"/>
  <c r="L102" i="6"/>
  <c r="P102" i="6"/>
  <c r="T102" i="6"/>
  <c r="X102" i="6"/>
  <c r="AB102" i="6"/>
  <c r="AF102" i="6"/>
  <c r="AJ102" i="6"/>
  <c r="I102" i="6"/>
  <c r="M102" i="6" s="1"/>
  <c r="I101" i="6"/>
  <c r="L101" i="6" s="1"/>
  <c r="I100" i="6"/>
  <c r="J100" i="6" s="1"/>
  <c r="I99" i="6"/>
  <c r="M99" i="6" s="1"/>
  <c r="I98" i="6"/>
  <c r="M98" i="6" s="1"/>
  <c r="I97" i="6"/>
  <c r="M97" i="6" s="1"/>
  <c r="I96" i="6"/>
  <c r="J96" i="6" s="1"/>
  <c r="J99" i="6"/>
  <c r="H95" i="6"/>
  <c r="I95" i="6" s="1"/>
  <c r="J95" i="6" s="1"/>
  <c r="E102" i="6"/>
  <c r="E101" i="6"/>
  <c r="E100" i="6"/>
  <c r="E99" i="6"/>
  <c r="E97" i="6"/>
  <c r="E96" i="6"/>
  <c r="K127" i="6"/>
  <c r="G125" i="6"/>
  <c r="C123" i="6"/>
  <c r="B52" i="6"/>
  <c r="B36" i="6"/>
  <c r="AB100" i="6" l="1"/>
  <c r="L100" i="6"/>
  <c r="X99" i="6"/>
  <c r="AA100" i="6"/>
  <c r="K100" i="6"/>
  <c r="W99" i="6"/>
  <c r="X100" i="6"/>
  <c r="AJ99" i="6"/>
  <c r="T99" i="6"/>
  <c r="J101" i="6"/>
  <c r="AJ100" i="6"/>
  <c r="T100" i="6"/>
  <c r="AF99" i="6"/>
  <c r="P99" i="6"/>
  <c r="AF100" i="6"/>
  <c r="P100" i="6"/>
  <c r="AB99" i="6"/>
  <c r="L99" i="6"/>
  <c r="AE102" i="6"/>
  <c r="W102" i="6"/>
  <c r="S102" i="6"/>
  <c r="K102" i="6"/>
  <c r="AE101" i="6"/>
  <c r="O101" i="6"/>
  <c r="AI102" i="6"/>
  <c r="AA102" i="6"/>
  <c r="O102" i="6"/>
  <c r="AI101" i="6"/>
  <c r="AA101" i="6"/>
  <c r="W101" i="6"/>
  <c r="S101" i="6"/>
  <c r="K101" i="6"/>
  <c r="AL102" i="6"/>
  <c r="AH102" i="6"/>
  <c r="AD102" i="6"/>
  <c r="Z102" i="6"/>
  <c r="V102" i="6"/>
  <c r="R102" i="6"/>
  <c r="N102" i="6"/>
  <c r="AL101" i="6"/>
  <c r="AH101" i="6"/>
  <c r="AD101" i="6"/>
  <c r="Z101" i="6"/>
  <c r="V101" i="6"/>
  <c r="R101" i="6"/>
  <c r="N101" i="6"/>
  <c r="AL100" i="6"/>
  <c r="AH100" i="6"/>
  <c r="AD100" i="6"/>
  <c r="Z100" i="6"/>
  <c r="V100" i="6"/>
  <c r="R100" i="6"/>
  <c r="N100" i="6"/>
  <c r="AL99" i="6"/>
  <c r="AH99" i="6"/>
  <c r="AD99" i="6"/>
  <c r="Z99" i="6"/>
  <c r="V99" i="6"/>
  <c r="R99" i="6"/>
  <c r="N99" i="6"/>
  <c r="J102" i="6"/>
  <c r="AK102" i="6"/>
  <c r="AG102" i="6"/>
  <c r="AC102" i="6"/>
  <c r="Y102" i="6"/>
  <c r="U102" i="6"/>
  <c r="Q102" i="6"/>
  <c r="AK101" i="6"/>
  <c r="AG101" i="6"/>
  <c r="AC101" i="6"/>
  <c r="Y101" i="6"/>
  <c r="U101" i="6"/>
  <c r="Q101" i="6"/>
  <c r="M101" i="6"/>
  <c r="AK100" i="6"/>
  <c r="AG100" i="6"/>
  <c r="AC100" i="6"/>
  <c r="Y100" i="6"/>
  <c r="U100" i="6"/>
  <c r="Q100" i="6"/>
  <c r="M100" i="6"/>
  <c r="AK99" i="6"/>
  <c r="AG99" i="6"/>
  <c r="AC99" i="6"/>
  <c r="Y99" i="6"/>
  <c r="U99" i="6"/>
  <c r="Q99" i="6"/>
  <c r="AJ101" i="6"/>
  <c r="AF101" i="6"/>
  <c r="AB101" i="6"/>
  <c r="X101" i="6"/>
  <c r="T101" i="6"/>
  <c r="P101" i="6"/>
  <c r="D87" i="2"/>
  <c r="G87" i="2"/>
  <c r="D86" i="2"/>
  <c r="G86" i="2"/>
  <c r="AC95" i="6"/>
  <c r="M95" i="6"/>
  <c r="AA95" i="6"/>
  <c r="S95" i="6"/>
  <c r="AG95" i="6"/>
  <c r="Y95" i="6"/>
  <c r="Q95" i="6"/>
  <c r="AK95" i="6"/>
  <c r="U95" i="6"/>
  <c r="AI95" i="6"/>
  <c r="K95" i="6"/>
  <c r="AE95" i="6"/>
  <c r="W95" i="6"/>
  <c r="O95" i="6"/>
  <c r="AJ97" i="6"/>
  <c r="AF97" i="6"/>
  <c r="AB97" i="6"/>
  <c r="X97" i="6"/>
  <c r="T97" i="6"/>
  <c r="P97" i="6"/>
  <c r="L97" i="6"/>
  <c r="J97" i="6"/>
  <c r="AI97" i="6"/>
  <c r="AE97" i="6"/>
  <c r="AA97" i="6"/>
  <c r="W97" i="6"/>
  <c r="S97" i="6"/>
  <c r="O97" i="6"/>
  <c r="K97" i="6"/>
  <c r="AL97" i="6"/>
  <c r="AH97" i="6"/>
  <c r="AD97" i="6"/>
  <c r="Z97" i="6"/>
  <c r="V97" i="6"/>
  <c r="R97" i="6"/>
  <c r="N97" i="6"/>
  <c r="AK97" i="6"/>
  <c r="AG97" i="6"/>
  <c r="AC97" i="6"/>
  <c r="Y97" i="6"/>
  <c r="U97" i="6"/>
  <c r="Q97" i="6"/>
  <c r="AG98" i="6"/>
  <c r="AC98" i="6"/>
  <c r="Y98" i="6"/>
  <c r="U98" i="6"/>
  <c r="Q98" i="6"/>
  <c r="J98" i="6"/>
  <c r="AJ98" i="6"/>
  <c r="AF98" i="6"/>
  <c r="AB98" i="6"/>
  <c r="X98" i="6"/>
  <c r="T98" i="6"/>
  <c r="P98" i="6"/>
  <c r="L98" i="6"/>
  <c r="K98" i="6"/>
  <c r="AI98" i="6"/>
  <c r="AE98" i="6"/>
  <c r="AA98" i="6"/>
  <c r="W98" i="6"/>
  <c r="S98" i="6"/>
  <c r="O98" i="6"/>
  <c r="AL98" i="6"/>
  <c r="AH98" i="6"/>
  <c r="AD98" i="6"/>
  <c r="Z98" i="6"/>
  <c r="V98" i="6"/>
  <c r="R98" i="6"/>
  <c r="N98" i="6"/>
  <c r="AK98" i="6"/>
  <c r="E98" i="6"/>
  <c r="AL95" i="6"/>
  <c r="AH95" i="6"/>
  <c r="AD95" i="6"/>
  <c r="Z95" i="6"/>
  <c r="V95" i="6"/>
  <c r="R95" i="6"/>
  <c r="N95" i="6"/>
  <c r="AJ95" i="6"/>
  <c r="AF95" i="6"/>
  <c r="AB95" i="6"/>
  <c r="X95" i="6"/>
  <c r="T95" i="6"/>
  <c r="P95" i="6"/>
  <c r="L95" i="6"/>
  <c r="AI96" i="6"/>
  <c r="AE96" i="6"/>
  <c r="AA96" i="6"/>
  <c r="W96" i="6"/>
  <c r="S96" i="6"/>
  <c r="O96" i="6"/>
  <c r="AL96" i="6"/>
  <c r="AH96" i="6"/>
  <c r="AD96" i="6"/>
  <c r="Z96" i="6"/>
  <c r="V96" i="6"/>
  <c r="R96" i="6"/>
  <c r="N96" i="6"/>
  <c r="M96" i="6"/>
  <c r="AK96" i="6"/>
  <c r="AG96" i="6"/>
  <c r="AC96" i="6"/>
  <c r="Y96" i="6"/>
  <c r="U96" i="6"/>
  <c r="Q96" i="6"/>
  <c r="AJ96" i="6"/>
  <c r="AF96" i="6"/>
  <c r="AB96" i="6"/>
  <c r="X96" i="6"/>
  <c r="T96" i="6"/>
  <c r="P96" i="6"/>
  <c r="L96" i="6"/>
  <c r="K96" i="6"/>
  <c r="C103" i="6" l="1"/>
  <c r="B40" i="3" l="1"/>
  <c r="K126" i="6"/>
  <c r="G124" i="6"/>
  <c r="C122" i="6"/>
  <c r="H72" i="2"/>
  <c r="C210" i="1"/>
  <c r="E208" i="1"/>
  <c r="E207" i="1"/>
  <c r="E206" i="1"/>
  <c r="E205" i="1"/>
  <c r="E204" i="1"/>
  <c r="E193" i="1"/>
  <c r="H73" i="2" l="1"/>
  <c r="M125" i="6" l="1"/>
  <c r="M124" i="6"/>
  <c r="M123" i="6"/>
  <c r="M122" i="6"/>
  <c r="I127" i="6"/>
  <c r="I126" i="6"/>
  <c r="I123" i="6"/>
  <c r="I122" i="6"/>
  <c r="D123" i="6"/>
  <c r="H125" i="6"/>
  <c r="L127" i="6"/>
  <c r="E125" i="6"/>
  <c r="E127" i="6"/>
  <c r="E122" i="6"/>
  <c r="G9" i="2"/>
  <c r="D29" i="6"/>
  <c r="D28" i="6"/>
  <c r="D27" i="6"/>
  <c r="D26" i="6"/>
  <c r="D25" i="6"/>
  <c r="D24" i="6"/>
  <c r="D23" i="6"/>
  <c r="D22" i="6"/>
  <c r="D16" i="6"/>
  <c r="D15" i="6"/>
  <c r="D14" i="6"/>
  <c r="D13" i="6"/>
  <c r="D12" i="6"/>
  <c r="D11" i="6"/>
  <c r="D10" i="6"/>
  <c r="D9" i="6"/>
  <c r="D111" i="1"/>
  <c r="D107" i="1"/>
  <c r="D110" i="1"/>
  <c r="D109" i="1"/>
  <c r="D108" i="1"/>
  <c r="D106" i="1"/>
  <c r="D105" i="1"/>
  <c r="D104" i="1"/>
  <c r="D125" i="1"/>
  <c r="D124" i="1"/>
  <c r="D123" i="1"/>
  <c r="D122" i="1"/>
  <c r="D121" i="1"/>
  <c r="D120" i="1"/>
  <c r="D119" i="1"/>
  <c r="D118" i="1"/>
  <c r="D175" i="1"/>
  <c r="D163" i="1"/>
  <c r="D162" i="1"/>
  <c r="G29" i="2"/>
  <c r="G28" i="2"/>
  <c r="E26" i="1"/>
  <c r="E25" i="1"/>
  <c r="I125" i="6" l="1"/>
  <c r="M127" i="6"/>
  <c r="E123" i="6"/>
  <c r="I8" i="2"/>
  <c r="G73" i="2" l="1"/>
  <c r="G72" i="2"/>
  <c r="F61" i="3" l="1"/>
  <c r="D61" i="3"/>
  <c r="D43" i="6"/>
  <c r="D17" i="6"/>
  <c r="C17" i="6"/>
  <c r="D30" i="6"/>
  <c r="C30" i="6"/>
  <c r="E126" i="6"/>
  <c r="E124" i="6"/>
  <c r="F14" i="3" l="1"/>
  <c r="D29" i="3"/>
  <c r="D46" i="3" s="1"/>
  <c r="G30" i="3"/>
  <c r="G47" i="3" s="1"/>
  <c r="E128" i="6"/>
  <c r="E133" i="6" s="1"/>
  <c r="F64" i="3"/>
  <c r="F63" i="3"/>
  <c r="D63" i="3"/>
  <c r="D64" i="3"/>
  <c r="D59" i="6"/>
  <c r="D60" i="6"/>
  <c r="F12" i="3"/>
  <c r="F13" i="3"/>
  <c r="C41" i="6"/>
  <c r="D42" i="6"/>
  <c r="C37" i="6"/>
  <c r="D38" i="6"/>
  <c r="C39" i="6"/>
  <c r="C43" i="6"/>
  <c r="D40" i="6"/>
  <c r="D44" i="6"/>
  <c r="C53" i="6"/>
  <c r="C55" i="6"/>
  <c r="C75" i="6" s="1"/>
  <c r="C57" i="6"/>
  <c r="C77" i="6" s="1"/>
  <c r="C59" i="6"/>
  <c r="C79" i="6" s="1"/>
  <c r="D54" i="6"/>
  <c r="D56" i="6"/>
  <c r="D58" i="6"/>
  <c r="C54" i="6"/>
  <c r="C56" i="6"/>
  <c r="C76" i="6" s="1"/>
  <c r="C58" i="6"/>
  <c r="C78" i="6" s="1"/>
  <c r="C60" i="6"/>
  <c r="C38" i="6"/>
  <c r="C40" i="6"/>
  <c r="C42" i="6"/>
  <c r="C44" i="6"/>
  <c r="D53" i="6"/>
  <c r="D55" i="6"/>
  <c r="D57" i="6"/>
  <c r="D37" i="6"/>
  <c r="D39" i="6"/>
  <c r="D41" i="6"/>
  <c r="D41" i="3"/>
  <c r="C25" i="3"/>
  <c r="C42" i="3" s="1"/>
  <c r="C27" i="3"/>
  <c r="C44" i="3" s="1"/>
  <c r="C29" i="3"/>
  <c r="C46" i="3" s="1"/>
  <c r="D26" i="3"/>
  <c r="D28" i="3"/>
  <c r="C24" i="3"/>
  <c r="C41" i="3" s="1"/>
  <c r="C26" i="3"/>
  <c r="C43" i="3" s="1"/>
  <c r="C28" i="3"/>
  <c r="C45" i="3" s="1"/>
  <c r="D27" i="3"/>
  <c r="M126" i="6"/>
  <c r="I124" i="6"/>
  <c r="I9" i="2"/>
  <c r="I17" i="2" s="1"/>
  <c r="F15" i="3" l="1"/>
  <c r="G17" i="2"/>
  <c r="G19" i="2"/>
  <c r="D27" i="2"/>
  <c r="E28" i="2" s="1"/>
  <c r="G18" i="2"/>
  <c r="I33" i="2"/>
  <c r="K33" i="2" s="1"/>
  <c r="I20" i="2"/>
  <c r="C74" i="6"/>
  <c r="C73" i="6"/>
  <c r="C80" i="6"/>
  <c r="I59" i="6"/>
  <c r="E27" i="3"/>
  <c r="D44" i="3"/>
  <c r="C47" i="3"/>
  <c r="E25" i="3"/>
  <c r="D42" i="3"/>
  <c r="E28" i="3"/>
  <c r="D45" i="3"/>
  <c r="E26" i="3"/>
  <c r="D43" i="3"/>
  <c r="E41" i="3"/>
  <c r="K59" i="6"/>
  <c r="J59" i="6"/>
  <c r="H59" i="6"/>
  <c r="D79" i="6"/>
  <c r="I128" i="6"/>
  <c r="E24" i="3"/>
  <c r="M128" i="6"/>
  <c r="M133" i="6" s="1"/>
  <c r="E138" i="6"/>
  <c r="E137" i="6"/>
  <c r="D77" i="6"/>
  <c r="D73" i="6"/>
  <c r="D78" i="6"/>
  <c r="D74" i="6"/>
  <c r="H74" i="6" s="1"/>
  <c r="D75" i="6"/>
  <c r="D80" i="6"/>
  <c r="D76" i="6"/>
  <c r="J55" i="6"/>
  <c r="K55" i="6"/>
  <c r="I55" i="6"/>
  <c r="H55" i="6"/>
  <c r="C45" i="6"/>
  <c r="K60" i="6"/>
  <c r="I60" i="6"/>
  <c r="H60" i="6"/>
  <c r="J60" i="6"/>
  <c r="K56" i="6"/>
  <c r="I56" i="6"/>
  <c r="H56" i="6"/>
  <c r="J56" i="6"/>
  <c r="J57" i="6"/>
  <c r="K57" i="6"/>
  <c r="I57" i="6"/>
  <c r="H57" i="6"/>
  <c r="J53" i="6"/>
  <c r="K53" i="6"/>
  <c r="I53" i="6"/>
  <c r="H53" i="6"/>
  <c r="K58" i="6"/>
  <c r="I58" i="6"/>
  <c r="H58" i="6"/>
  <c r="J58" i="6"/>
  <c r="K54" i="6"/>
  <c r="I54" i="6"/>
  <c r="H54" i="6"/>
  <c r="J54" i="6"/>
  <c r="D61" i="6"/>
  <c r="D45" i="6"/>
  <c r="C61" i="6"/>
  <c r="C30" i="3"/>
  <c r="D30" i="3"/>
  <c r="D84" i="1"/>
  <c r="C84" i="1"/>
  <c r="E82" i="1"/>
  <c r="E81" i="1"/>
  <c r="E80" i="1"/>
  <c r="E79" i="1"/>
  <c r="E71" i="1"/>
  <c r="E68" i="1"/>
  <c r="I15" i="1"/>
  <c r="J15" i="1" s="1"/>
  <c r="I8" i="1"/>
  <c r="J8" i="1" s="1"/>
  <c r="I7" i="1"/>
  <c r="J7" i="1" s="1"/>
  <c r="I6" i="1"/>
  <c r="J6" i="1" s="1"/>
  <c r="I5" i="1"/>
  <c r="J5" i="1" s="1"/>
  <c r="I14" i="1"/>
  <c r="J14" i="1" s="1"/>
  <c r="I13" i="1"/>
  <c r="J13" i="1" s="1"/>
  <c r="I12" i="1"/>
  <c r="J12" i="1" s="1"/>
  <c r="E58" i="1"/>
  <c r="E57" i="1"/>
  <c r="E56" i="1"/>
  <c r="E55" i="1"/>
  <c r="E54" i="1"/>
  <c r="D60" i="1"/>
  <c r="C60" i="1"/>
  <c r="D48" i="1"/>
  <c r="E46" i="1"/>
  <c r="E45" i="1"/>
  <c r="E44" i="1"/>
  <c r="E43" i="1"/>
  <c r="E42" i="1"/>
  <c r="C73" i="1"/>
  <c r="D154" i="1"/>
  <c r="C154" i="1"/>
  <c r="E152" i="1"/>
  <c r="E151" i="1"/>
  <c r="E150" i="1"/>
  <c r="E149" i="1"/>
  <c r="E148" i="1"/>
  <c r="D177" i="1"/>
  <c r="C183" i="1"/>
  <c r="D179" i="1"/>
  <c r="D178" i="1"/>
  <c r="D176" i="1"/>
  <c r="C170" i="1"/>
  <c r="D166" i="1"/>
  <c r="D165" i="1"/>
  <c r="D235" i="1"/>
  <c r="D234" i="1"/>
  <c r="D232" i="1"/>
  <c r="D231" i="1"/>
  <c r="D222" i="1"/>
  <c r="D221" i="1"/>
  <c r="D219" i="1"/>
  <c r="D218" i="1"/>
  <c r="C239" i="1"/>
  <c r="C226" i="1"/>
  <c r="C199" i="1"/>
  <c r="E197" i="1"/>
  <c r="E196" i="1"/>
  <c r="E195" i="1"/>
  <c r="E194" i="1"/>
  <c r="D142" i="1"/>
  <c r="C142" i="1"/>
  <c r="E140" i="1"/>
  <c r="E139" i="1"/>
  <c r="E138" i="1"/>
  <c r="E137" i="1"/>
  <c r="E136" i="1"/>
  <c r="E96" i="1"/>
  <c r="E95" i="1"/>
  <c r="E94" i="1"/>
  <c r="E93" i="1"/>
  <c r="E92" i="1"/>
  <c r="D98" i="1"/>
  <c r="C98" i="1"/>
  <c r="F27" i="1"/>
  <c r="F26" i="1"/>
  <c r="F25" i="1"/>
  <c r="F28" i="1"/>
  <c r="D126" i="1"/>
  <c r="C126" i="1"/>
  <c r="D112" i="1"/>
  <c r="C112" i="1"/>
  <c r="D47" i="3" l="1"/>
  <c r="E30" i="3"/>
  <c r="H30" i="3"/>
  <c r="F207" i="1"/>
  <c r="F205" i="1"/>
  <c r="F208" i="1"/>
  <c r="F204" i="1"/>
  <c r="F210" i="1" s="1"/>
  <c r="F209" i="1"/>
  <c r="F206" i="1"/>
  <c r="I28" i="2"/>
  <c r="C81" i="6"/>
  <c r="G103" i="6"/>
  <c r="X103" i="6"/>
  <c r="X105" i="6" s="1"/>
  <c r="K103" i="6"/>
  <c r="K105" i="6" s="1"/>
  <c r="L103" i="6"/>
  <c r="L105" i="6" s="1"/>
  <c r="J103" i="6"/>
  <c r="J105" i="6" s="1"/>
  <c r="M103" i="6"/>
  <c r="M105" i="6" s="1"/>
  <c r="I133" i="6"/>
  <c r="I138" i="6" s="1"/>
  <c r="AE77" i="6"/>
  <c r="AA77" i="6"/>
  <c r="W77" i="6"/>
  <c r="S77" i="6"/>
  <c r="O77" i="6"/>
  <c r="K77" i="6"/>
  <c r="AB77" i="6"/>
  <c r="T77" i="6"/>
  <c r="L77" i="6"/>
  <c r="AD77" i="6"/>
  <c r="Z77" i="6"/>
  <c r="V77" i="6"/>
  <c r="R77" i="6"/>
  <c r="N77" i="6"/>
  <c r="J77" i="6"/>
  <c r="AF77" i="6"/>
  <c r="X77" i="6"/>
  <c r="P77" i="6"/>
  <c r="AC77" i="6"/>
  <c r="Y77" i="6"/>
  <c r="U77" i="6"/>
  <c r="Q77" i="6"/>
  <c r="M77" i="6"/>
  <c r="I77" i="6"/>
  <c r="H77" i="6"/>
  <c r="AE74" i="6"/>
  <c r="AA74" i="6"/>
  <c r="W74" i="6"/>
  <c r="S74" i="6"/>
  <c r="O74" i="6"/>
  <c r="K74" i="6"/>
  <c r="AC74" i="6"/>
  <c r="U74" i="6"/>
  <c r="M74" i="6"/>
  <c r="AB74" i="6"/>
  <c r="AD74" i="6"/>
  <c r="Z74" i="6"/>
  <c r="V74" i="6"/>
  <c r="R74" i="6"/>
  <c r="N74" i="6"/>
  <c r="J74" i="6"/>
  <c r="Y74" i="6"/>
  <c r="Q74" i="6"/>
  <c r="AF74" i="6"/>
  <c r="I74" i="6"/>
  <c r="P74" i="6"/>
  <c r="L74" i="6"/>
  <c r="X74" i="6"/>
  <c r="T74" i="6"/>
  <c r="AE79" i="6"/>
  <c r="AA79" i="6"/>
  <c r="W79" i="6"/>
  <c r="S79" i="6"/>
  <c r="O79" i="6"/>
  <c r="K79" i="6"/>
  <c r="H79" i="6"/>
  <c r="AF79" i="6"/>
  <c r="X79" i="6"/>
  <c r="P79" i="6"/>
  <c r="AD79" i="6"/>
  <c r="Z79" i="6"/>
  <c r="V79" i="6"/>
  <c r="R79" i="6"/>
  <c r="N79" i="6"/>
  <c r="J79" i="6"/>
  <c r="AB79" i="6"/>
  <c r="T79" i="6"/>
  <c r="L79" i="6"/>
  <c r="AC79" i="6"/>
  <c r="Y79" i="6"/>
  <c r="U79" i="6"/>
  <c r="Q79" i="6"/>
  <c r="M79" i="6"/>
  <c r="I79" i="6"/>
  <c r="AE76" i="6"/>
  <c r="AA76" i="6"/>
  <c r="W76" i="6"/>
  <c r="S76" i="6"/>
  <c r="O76" i="6"/>
  <c r="K76" i="6"/>
  <c r="M76" i="6"/>
  <c r="X76" i="6"/>
  <c r="P76" i="6"/>
  <c r="AD76" i="6"/>
  <c r="Z76" i="6"/>
  <c r="V76" i="6"/>
  <c r="R76" i="6"/>
  <c r="N76" i="6"/>
  <c r="J76" i="6"/>
  <c r="Q76" i="6"/>
  <c r="AB76" i="6"/>
  <c r="T76" i="6"/>
  <c r="L76" i="6"/>
  <c r="AC76" i="6"/>
  <c r="Y76" i="6"/>
  <c r="U76" i="6"/>
  <c r="I76" i="6"/>
  <c r="AF76" i="6"/>
  <c r="H76" i="6"/>
  <c r="AE78" i="6"/>
  <c r="AA78" i="6"/>
  <c r="W78" i="6"/>
  <c r="S78" i="6"/>
  <c r="O78" i="6"/>
  <c r="K78" i="6"/>
  <c r="AF78" i="6"/>
  <c r="T78" i="6"/>
  <c r="L78" i="6"/>
  <c r="AD78" i="6"/>
  <c r="Z78" i="6"/>
  <c r="V78" i="6"/>
  <c r="R78" i="6"/>
  <c r="N78" i="6"/>
  <c r="J78" i="6"/>
  <c r="H78" i="6"/>
  <c r="AB78" i="6"/>
  <c r="P78" i="6"/>
  <c r="AC78" i="6"/>
  <c r="Y78" i="6"/>
  <c r="U78" i="6"/>
  <c r="Q78" i="6"/>
  <c r="M78" i="6"/>
  <c r="I78" i="6"/>
  <c r="X78" i="6"/>
  <c r="AE75" i="6"/>
  <c r="AA75" i="6"/>
  <c r="W75" i="6"/>
  <c r="S75" i="6"/>
  <c r="O75" i="6"/>
  <c r="K75" i="6"/>
  <c r="H75" i="6"/>
  <c r="Y75" i="6"/>
  <c r="Q75" i="6"/>
  <c r="AF75" i="6"/>
  <c r="T75" i="6"/>
  <c r="L75" i="6"/>
  <c r="AD75" i="6"/>
  <c r="Z75" i="6"/>
  <c r="V75" i="6"/>
  <c r="R75" i="6"/>
  <c r="N75" i="6"/>
  <c r="J75" i="6"/>
  <c r="U75" i="6"/>
  <c r="M75" i="6"/>
  <c r="AB75" i="6"/>
  <c r="P75" i="6"/>
  <c r="AC75" i="6"/>
  <c r="I75" i="6"/>
  <c r="X75" i="6"/>
  <c r="AE80" i="6"/>
  <c r="AA80" i="6"/>
  <c r="W80" i="6"/>
  <c r="S80" i="6"/>
  <c r="O80" i="6"/>
  <c r="K80" i="6"/>
  <c r="AF80" i="6"/>
  <c r="AB80" i="6"/>
  <c r="T80" i="6"/>
  <c r="AD80" i="6"/>
  <c r="Z80" i="6"/>
  <c r="V80" i="6"/>
  <c r="R80" i="6"/>
  <c r="N80" i="6"/>
  <c r="J80" i="6"/>
  <c r="X80" i="6"/>
  <c r="P80" i="6"/>
  <c r="L80" i="6"/>
  <c r="AC80" i="6"/>
  <c r="Y80" i="6"/>
  <c r="U80" i="6"/>
  <c r="Q80" i="6"/>
  <c r="M80" i="6"/>
  <c r="I80" i="6"/>
  <c r="H80" i="6"/>
  <c r="AE73" i="6"/>
  <c r="AA73" i="6"/>
  <c r="W73" i="6"/>
  <c r="S73" i="6"/>
  <c r="O73" i="6"/>
  <c r="K73" i="6"/>
  <c r="Y73" i="6"/>
  <c r="Q73" i="6"/>
  <c r="I73" i="6"/>
  <c r="AD73" i="6"/>
  <c r="Z73" i="6"/>
  <c r="V73" i="6"/>
  <c r="R73" i="6"/>
  <c r="N73" i="6"/>
  <c r="J73" i="6"/>
  <c r="AC73" i="6"/>
  <c r="U73" i="6"/>
  <c r="M73" i="6"/>
  <c r="H73" i="6"/>
  <c r="X73" i="6"/>
  <c r="T73" i="6"/>
  <c r="AF73" i="6"/>
  <c r="P73" i="6"/>
  <c r="AB73" i="6"/>
  <c r="L73" i="6"/>
  <c r="F45" i="3"/>
  <c r="E45" i="3"/>
  <c r="F44" i="3"/>
  <c r="E44" i="3"/>
  <c r="D49" i="3"/>
  <c r="D50" i="3"/>
  <c r="F46" i="3"/>
  <c r="F43" i="3"/>
  <c r="E43" i="3"/>
  <c r="F42" i="3"/>
  <c r="E42" i="3"/>
  <c r="H98" i="1"/>
  <c r="F193" i="1"/>
  <c r="M137" i="6"/>
  <c r="M138" i="6"/>
  <c r="D48" i="6"/>
  <c r="D47" i="6"/>
  <c r="E103" i="6" s="1"/>
  <c r="I61" i="6"/>
  <c r="I63" i="6" s="1"/>
  <c r="J61" i="6"/>
  <c r="J63" i="6" s="1"/>
  <c r="D81" i="6"/>
  <c r="D33" i="3"/>
  <c r="D32" i="3"/>
  <c r="F25" i="3"/>
  <c r="H61" i="6"/>
  <c r="H63" i="6" s="1"/>
  <c r="K61" i="6"/>
  <c r="K63" i="6" s="1"/>
  <c r="F29" i="3"/>
  <c r="F27" i="3"/>
  <c r="F28" i="3"/>
  <c r="F24" i="3"/>
  <c r="F26" i="3"/>
  <c r="I21" i="2"/>
  <c r="F43" i="1"/>
  <c r="F45" i="1"/>
  <c r="F47" i="1"/>
  <c r="F54" i="1"/>
  <c r="F56" i="1"/>
  <c r="F58" i="1"/>
  <c r="F42" i="1"/>
  <c r="F44" i="1"/>
  <c r="F46" i="1"/>
  <c r="F55" i="1"/>
  <c r="F57" i="1"/>
  <c r="F59" i="1"/>
  <c r="F137" i="1"/>
  <c r="F139" i="1"/>
  <c r="F141" i="1"/>
  <c r="F149" i="1"/>
  <c r="F151" i="1"/>
  <c r="F153" i="1"/>
  <c r="F136" i="1"/>
  <c r="F138" i="1"/>
  <c r="F140" i="1"/>
  <c r="F148" i="1"/>
  <c r="F150" i="1"/>
  <c r="F152" i="1"/>
  <c r="D183" i="1"/>
  <c r="F198" i="1"/>
  <c r="F194" i="1"/>
  <c r="F195" i="1"/>
  <c r="F196" i="1"/>
  <c r="F197" i="1"/>
  <c r="D239" i="1"/>
  <c r="D170" i="1"/>
  <c r="D226" i="1"/>
  <c r="F93" i="1"/>
  <c r="F97" i="1"/>
  <c r="F95" i="1"/>
  <c r="F92" i="1"/>
  <c r="F94" i="1"/>
  <c r="F96" i="1"/>
  <c r="F30" i="1"/>
  <c r="F41" i="3" l="1"/>
  <c r="F47" i="3" s="1"/>
  <c r="E47" i="3"/>
  <c r="H47" i="3"/>
  <c r="P135" i="6"/>
  <c r="P138" i="6" s="1"/>
  <c r="I137" i="6"/>
  <c r="Z103" i="6"/>
  <c r="Z105" i="6" s="1"/>
  <c r="W103" i="6"/>
  <c r="W105" i="6" s="1"/>
  <c r="V103" i="6"/>
  <c r="V105" i="6" s="1"/>
  <c r="N103" i="6"/>
  <c r="N105" i="6" s="1"/>
  <c r="Y103" i="6"/>
  <c r="Y105" i="6" s="1"/>
  <c r="P103" i="6"/>
  <c r="P105" i="6" s="1"/>
  <c r="T103" i="6"/>
  <c r="T105" i="6" s="1"/>
  <c r="AL103" i="6"/>
  <c r="AL105" i="6" s="1"/>
  <c r="AA103" i="6"/>
  <c r="AA105" i="6" s="1"/>
  <c r="AH103" i="6"/>
  <c r="AH105" i="6" s="1"/>
  <c r="AB103" i="6"/>
  <c r="AB105" i="6" s="1"/>
  <c r="AD103" i="6"/>
  <c r="AD105" i="6" s="1"/>
  <c r="AC103" i="6"/>
  <c r="AC105" i="6" s="1"/>
  <c r="E105" i="6"/>
  <c r="E106" i="6"/>
  <c r="O103" i="6"/>
  <c r="O105" i="6" s="1"/>
  <c r="AE103" i="6"/>
  <c r="AE105" i="6" s="1"/>
  <c r="AF103" i="6"/>
  <c r="AF105" i="6" s="1"/>
  <c r="Q103" i="6"/>
  <c r="Q105" i="6" s="1"/>
  <c r="AG103" i="6"/>
  <c r="AG105" i="6" s="1"/>
  <c r="R103" i="6"/>
  <c r="R105" i="6" s="1"/>
  <c r="S103" i="6"/>
  <c r="S105" i="6" s="1"/>
  <c r="AI103" i="6"/>
  <c r="AI105" i="6" s="1"/>
  <c r="AJ103" i="6"/>
  <c r="AJ105" i="6" s="1"/>
  <c r="U103" i="6"/>
  <c r="U105" i="6" s="1"/>
  <c r="AK103" i="6"/>
  <c r="AK105" i="6" s="1"/>
  <c r="M81" i="6"/>
  <c r="M83" i="6" s="1"/>
  <c r="L81" i="6"/>
  <c r="L83" i="6" s="1"/>
  <c r="T81" i="6"/>
  <c r="T83" i="6" s="1"/>
  <c r="U81" i="6"/>
  <c r="U83" i="6" s="1"/>
  <c r="R81" i="6"/>
  <c r="R83" i="6" s="1"/>
  <c r="I81" i="6"/>
  <c r="I83" i="6" s="1"/>
  <c r="O81" i="6"/>
  <c r="O83" i="6" s="1"/>
  <c r="AE81" i="6"/>
  <c r="AE83" i="6" s="1"/>
  <c r="V81" i="6"/>
  <c r="V83" i="6" s="1"/>
  <c r="H81" i="6"/>
  <c r="H83" i="6" s="1"/>
  <c r="AB81" i="6"/>
  <c r="AB83" i="6" s="1"/>
  <c r="P81" i="6"/>
  <c r="P83" i="6" s="1"/>
  <c r="J81" i="6"/>
  <c r="J83" i="6" s="1"/>
  <c r="Z81" i="6"/>
  <c r="Z83" i="6" s="1"/>
  <c r="X81" i="6"/>
  <c r="X83" i="6" s="1"/>
  <c r="N81" i="6"/>
  <c r="N83" i="6" s="1"/>
  <c r="AF81" i="6"/>
  <c r="AF83" i="6" s="1"/>
  <c r="S81" i="6"/>
  <c r="S83" i="6" s="1"/>
  <c r="Y81" i="6"/>
  <c r="Y83" i="6" s="1"/>
  <c r="K81" i="6"/>
  <c r="K83" i="6" s="1"/>
  <c r="AC81" i="6"/>
  <c r="AC83" i="6" s="1"/>
  <c r="W81" i="6"/>
  <c r="W83" i="6" s="1"/>
  <c r="AD81" i="6"/>
  <c r="AD83" i="6" s="1"/>
  <c r="AA81" i="6"/>
  <c r="AA83" i="6" s="1"/>
  <c r="Q81" i="6"/>
  <c r="Q83" i="6" s="1"/>
  <c r="E31" i="2"/>
  <c r="I31" i="2" s="1"/>
  <c r="K31" i="2" s="1"/>
  <c r="E29" i="2"/>
  <c r="E30" i="2"/>
  <c r="I30" i="2" s="1"/>
  <c r="K30" i="2" s="1"/>
  <c r="D65" i="6"/>
  <c r="F30" i="3"/>
  <c r="F48" i="1"/>
  <c r="F60" i="1"/>
  <c r="F154" i="1"/>
  <c r="F142" i="1"/>
  <c r="F199" i="1"/>
  <c r="F98" i="1"/>
  <c r="D73" i="1"/>
  <c r="E69" i="1"/>
  <c r="P137" i="6" l="1"/>
  <c r="I29" i="2"/>
  <c r="K29" i="2" s="1"/>
  <c r="F35" i="2"/>
  <c r="F37" i="2"/>
  <c r="F36" i="2"/>
  <c r="I105" i="6"/>
  <c r="D85" i="6"/>
  <c r="D88" i="6" s="1"/>
  <c r="D68" i="6"/>
  <c r="D67" i="6"/>
  <c r="I107" i="6" l="1"/>
  <c r="E111" i="6"/>
  <c r="I108" i="6"/>
  <c r="D87" i="6"/>
  <c r="K28" i="2"/>
  <c r="I39" i="2"/>
  <c r="E114" i="6" l="1"/>
  <c r="E113" i="6"/>
  <c r="I41" i="2"/>
  <c r="K39" i="2"/>
  <c r="I4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Phillip Beardmore</author>
  </authors>
  <commentList>
    <comment ref="G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Phillip Beardmore:</t>
        </r>
        <r>
          <rPr>
            <sz val="9"/>
            <color indexed="81"/>
            <rFont val="Tahoma"/>
            <family val="2"/>
          </rPr>
          <t xml:space="preserve">
This figure is used to ensure sub-total = $561,700, per PWC July 2016 report.</t>
        </r>
      </text>
    </comment>
    <comment ref="G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Phillip Beardmore:</t>
        </r>
        <r>
          <rPr>
            <sz val="9"/>
            <color indexed="81"/>
            <rFont val="Tahoma"/>
            <family val="2"/>
          </rPr>
          <t xml:space="preserve">
This figure is used to ensure sub-total = $561,700, per PWC July 2016 report.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Phillip Beardmore</author>
  </authors>
  <commentList>
    <comment ref="D1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Phillip Beardmore:</t>
        </r>
        <r>
          <rPr>
            <sz val="9"/>
            <color indexed="81"/>
            <rFont val="Tahoma"/>
            <family val="2"/>
          </rPr>
          <t xml:space="preserve">
Total on p.25 of PWC July 2016 report = $9,660k. Sum of sub-totals = $9,661k. Have used higher number to be conservative.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Phillip Beardmore</author>
  </authors>
  <commentList>
    <comment ref="E9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Phillip Beardmore:</t>
        </r>
        <r>
          <rPr>
            <sz val="9"/>
            <color indexed="81"/>
            <rFont val="Tahoma"/>
            <family val="2"/>
          </rPr>
          <t xml:space="preserve">
$100,000 per annum for an analyst,
$140,000 per annum for a team leader / manager.
See p.63 of PWC July 2016 report.</t>
        </r>
      </text>
    </comment>
    <comment ref="E10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Phillip Beardmore:</t>
        </r>
        <r>
          <rPr>
            <sz val="9"/>
            <color indexed="81"/>
            <rFont val="Tahoma"/>
            <family val="2"/>
          </rPr>
          <t xml:space="preserve">
$100,000 per annum for an analyst,
$140,000 per annum for a team leader / manager.
See p.63 of PWC July 2016 report.</t>
        </r>
      </text>
    </comment>
    <comment ref="E12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Phillip Beardmore:</t>
        </r>
        <r>
          <rPr>
            <sz val="9"/>
            <color indexed="81"/>
            <rFont val="Tahoma"/>
            <family val="2"/>
          </rPr>
          <t xml:space="preserve">
$100,000 per annum for an analyst,
$140,000 per annum for a team leader / manager.
See p.63 of PWC July 2016 report.</t>
        </r>
      </text>
    </comment>
    <comment ref="E22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Phillip Beardmore:</t>
        </r>
        <r>
          <rPr>
            <sz val="9"/>
            <color indexed="81"/>
            <rFont val="Tahoma"/>
            <family val="2"/>
          </rPr>
          <t xml:space="preserve">
$100,000 per annum for an analyst,
$140,000 per annum for a team leader / manager.
See p.63 of PWC July 2016 report.</t>
        </r>
      </text>
    </comment>
    <comment ref="D95" authorId="0" shapeId="0" xr:uid="{B1B6E89A-3170-405F-B6B7-2B439FC63DDE}">
      <text>
        <r>
          <rPr>
            <b/>
            <sz val="9"/>
            <color indexed="81"/>
            <rFont val="Tahoma"/>
            <family val="2"/>
          </rPr>
          <t>Phillip Beardmore:</t>
        </r>
        <r>
          <rPr>
            <sz val="9"/>
            <color indexed="81"/>
            <rFont val="Tahoma"/>
            <family val="2"/>
          </rPr>
          <t xml:space="preserve">
$100,000 per annum for an analyst,
$140,000 per annum for a team leader / manager.
See p.63 of PWC July 2016 report.
Same ratio of analyst to manager used as in PWC report.</t>
        </r>
      </text>
    </comment>
    <comment ref="H95" authorId="0" shapeId="0" xr:uid="{8770844D-CC87-4E84-9A73-15887AC220C0}">
      <text>
        <r>
          <rPr>
            <b/>
            <sz val="9"/>
            <color indexed="81"/>
            <rFont val="Tahoma"/>
            <family val="2"/>
          </rPr>
          <t>Phillip Beardmore:</t>
        </r>
        <r>
          <rPr>
            <sz val="9"/>
            <color indexed="81"/>
            <rFont val="Tahoma"/>
            <family val="2"/>
          </rPr>
          <t xml:space="preserve">
$100,000 per annum for an analyst,
$140,000 per annum for a team leader / manager.
See p.63 of PWC July 2016 report.
Same ratio of analyst to manager used as in PWC report.</t>
        </r>
      </text>
    </comment>
    <comment ref="D96" authorId="0" shapeId="0" xr:uid="{BA25F58B-58A9-4645-AF56-534AD07B7198}">
      <text>
        <r>
          <rPr>
            <b/>
            <sz val="9"/>
            <color indexed="81"/>
            <rFont val="Tahoma"/>
            <family val="2"/>
          </rPr>
          <t>Phillip Beardmore:</t>
        </r>
        <r>
          <rPr>
            <sz val="9"/>
            <color indexed="81"/>
            <rFont val="Tahoma"/>
            <family val="2"/>
          </rPr>
          <t xml:space="preserve">
$100,000 per annum for an analyst,
$140,000 per annum for a team leader / manager.
See p.63 of PWC July 2016 report.
Same ratio of analyst to manager used as in PWC report.</t>
        </r>
      </text>
    </comment>
    <comment ref="D98" authorId="0" shapeId="0" xr:uid="{3FB33DBE-2204-437D-9B3D-EAD87E779198}">
      <text>
        <r>
          <rPr>
            <b/>
            <sz val="9"/>
            <color indexed="81"/>
            <rFont val="Tahoma"/>
            <family val="2"/>
          </rPr>
          <t>Phillip Beardmore:</t>
        </r>
        <r>
          <rPr>
            <sz val="9"/>
            <color indexed="81"/>
            <rFont val="Tahoma"/>
            <family val="2"/>
          </rPr>
          <t xml:space="preserve">
$100,000 per annum for an analyst,
$140,000 per annum for a team leader / manager.
See p.63 of PWC July 2016 report.
Same ratio of analyst to manager used as in PWC report.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Phillip Beardmore</author>
  </authors>
  <commentList>
    <comment ref="E25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Phillip Beardmore:</t>
        </r>
        <r>
          <rPr>
            <sz val="9"/>
            <color indexed="81"/>
            <rFont val="Tahoma"/>
            <family val="2"/>
          </rPr>
          <t xml:space="preserve">
This figure is used to ensure sub-total = $561,700, per PWC July 2016 report.</t>
        </r>
      </text>
    </comment>
    <comment ref="E26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Phillip Beardmore:</t>
        </r>
        <r>
          <rPr>
            <sz val="9"/>
            <color indexed="81"/>
            <rFont val="Tahoma"/>
            <family val="2"/>
          </rPr>
          <t xml:space="preserve">
This figure is used to ensure sub-total = $561,700, per PWC July 2016 report.</t>
        </r>
      </text>
    </comment>
    <comment ref="D84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Phillip Beardmore:</t>
        </r>
        <r>
          <rPr>
            <sz val="9"/>
            <color indexed="81"/>
            <rFont val="Tahoma"/>
            <family val="2"/>
          </rPr>
          <t xml:space="preserve">
Subtotals sum to 794, but PWC Dec 2012 report to Transpower says 798 (see p.28).</t>
        </r>
      </text>
    </comment>
    <comment ref="B87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Phillip Beardmore:</t>
        </r>
        <r>
          <rPr>
            <sz val="9"/>
            <color indexed="81"/>
            <rFont val="Tahoma"/>
            <family val="2"/>
          </rPr>
          <t xml:space="preserve">
See pp.23-25 of PWC July 2016 report.</t>
        </r>
      </text>
    </comment>
    <comment ref="C89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Phillip Beardmore:</t>
        </r>
        <r>
          <rPr>
            <sz val="9"/>
            <color indexed="81"/>
            <rFont val="Tahoma"/>
            <family val="2"/>
          </rPr>
          <t xml:space="preserve">
See p.25 of PWC July 2016 report.</t>
        </r>
      </text>
    </comment>
    <comment ref="D98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Phillip Beardmore:</t>
        </r>
        <r>
          <rPr>
            <sz val="9"/>
            <color indexed="81"/>
            <rFont val="Tahoma"/>
            <family val="2"/>
          </rPr>
          <t xml:space="preserve">
Total on p.25 of PWC July 2016 report = $9,660. Sum of sub-totals = $9,661. Have used higher number to be conservative.</t>
        </r>
      </text>
    </comment>
    <comment ref="G98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>Phillip Beardmore:</t>
        </r>
        <r>
          <rPr>
            <sz val="9"/>
            <color indexed="81"/>
            <rFont val="Tahoma"/>
            <family val="2"/>
          </rPr>
          <t xml:space="preserve">
See p.25 of PWC July 2016 report.</t>
        </r>
      </text>
    </comment>
    <comment ref="E104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>Phillip Beardmore:</t>
        </r>
        <r>
          <rPr>
            <sz val="9"/>
            <color indexed="81"/>
            <rFont val="Tahoma"/>
            <family val="2"/>
          </rPr>
          <t xml:space="preserve">
$100,000 per annum for an analyst,
$140,000 per annum for a team leader / manager,
See p.63 of PWC July 2016 report.</t>
        </r>
      </text>
    </comment>
    <comment ref="E105" authorId="0" shapeId="0" xr:uid="{00000000-0006-0000-0300-000009000000}">
      <text>
        <r>
          <rPr>
            <b/>
            <sz val="9"/>
            <color indexed="81"/>
            <rFont val="Tahoma"/>
            <family val="2"/>
          </rPr>
          <t>Phillip Beardmore:</t>
        </r>
        <r>
          <rPr>
            <sz val="9"/>
            <color indexed="81"/>
            <rFont val="Tahoma"/>
            <family val="2"/>
          </rPr>
          <t xml:space="preserve">
$100,000 per annum for an analyst,
$140,000 per annum for a team leader / manager,
See p.63 of PWC July 2016 report.</t>
        </r>
      </text>
    </comment>
    <comment ref="E107" authorId="0" shapeId="0" xr:uid="{00000000-0006-0000-0300-00000A000000}">
      <text>
        <r>
          <rPr>
            <b/>
            <sz val="9"/>
            <color indexed="81"/>
            <rFont val="Tahoma"/>
            <family val="2"/>
          </rPr>
          <t>Phillip Beardmore:</t>
        </r>
        <r>
          <rPr>
            <sz val="9"/>
            <color indexed="81"/>
            <rFont val="Tahoma"/>
            <family val="2"/>
          </rPr>
          <t xml:space="preserve">
$100,000 per annum for an analyst,
$140,000 per annum for a team leader / manager,
See p.63 of PWC July 2016 report.</t>
        </r>
      </text>
    </comment>
    <comment ref="E118" authorId="0" shapeId="0" xr:uid="{00000000-0006-0000-0300-00000B000000}">
      <text>
        <r>
          <rPr>
            <b/>
            <sz val="9"/>
            <color indexed="81"/>
            <rFont val="Tahoma"/>
            <family val="2"/>
          </rPr>
          <t>Phillip Beardmore:</t>
        </r>
        <r>
          <rPr>
            <sz val="9"/>
            <color indexed="81"/>
            <rFont val="Tahoma"/>
            <family val="2"/>
          </rPr>
          <t xml:space="preserve">
$100,000 per annum for an analyst,
$140,000 per annum for a team leader / manager,
See p.63 of PWC July 2016 report.</t>
        </r>
      </text>
    </comment>
    <comment ref="B129" authorId="0" shapeId="0" xr:uid="{00000000-0006-0000-0300-00000C000000}">
      <text>
        <r>
          <rPr>
            <b/>
            <sz val="9"/>
            <color indexed="81"/>
            <rFont val="Tahoma"/>
            <family val="2"/>
          </rPr>
          <t>Phillip Beardmore:</t>
        </r>
        <r>
          <rPr>
            <sz val="9"/>
            <color indexed="81"/>
            <rFont val="Tahoma"/>
            <family val="2"/>
          </rPr>
          <t xml:space="preserve">
See p.27 of PWC July 2016 report.</t>
        </r>
      </text>
    </comment>
    <comment ref="C142" authorId="0" shapeId="0" xr:uid="{00000000-0006-0000-0300-00000D000000}">
      <text>
        <r>
          <rPr>
            <b/>
            <sz val="9"/>
            <color indexed="81"/>
            <rFont val="Tahoma"/>
            <family val="2"/>
          </rPr>
          <t>Phillip Beardmore:</t>
        </r>
        <r>
          <rPr>
            <sz val="9"/>
            <color indexed="81"/>
            <rFont val="Tahoma"/>
            <family val="2"/>
          </rPr>
          <t xml:space="preserve">
Total on p.27 of PWC July 2016 report = 1108. Sum of sub-totals = 1109. Have used higher number to be conservative.</t>
        </r>
      </text>
    </comment>
    <comment ref="E162" authorId="0" shapeId="0" xr:uid="{00000000-0006-0000-0300-00000E000000}">
      <text>
        <r>
          <rPr>
            <b/>
            <sz val="9"/>
            <color indexed="81"/>
            <rFont val="Tahoma"/>
            <family val="2"/>
          </rPr>
          <t>Phillip Beardmore:</t>
        </r>
        <r>
          <rPr>
            <sz val="9"/>
            <color indexed="81"/>
            <rFont val="Tahoma"/>
            <family val="2"/>
          </rPr>
          <t xml:space="preserve">
$100,000 per annum for an analyst,
$140,000 per annum for a team leader / manager,
See p.63 of PWC July 2016 report.</t>
        </r>
      </text>
    </comment>
    <comment ref="E163" authorId="0" shapeId="0" xr:uid="{00000000-0006-0000-0300-00000F000000}">
      <text>
        <r>
          <rPr>
            <b/>
            <sz val="9"/>
            <color indexed="81"/>
            <rFont val="Tahoma"/>
            <family val="2"/>
          </rPr>
          <t>Phillip Beardmore:</t>
        </r>
        <r>
          <rPr>
            <sz val="9"/>
            <color indexed="81"/>
            <rFont val="Tahoma"/>
            <family val="2"/>
          </rPr>
          <t xml:space="preserve">
$100,000 per annum for an analyst,
$140,000 per annum for a team leader / manager,
See p.63 of PWC July 2016 report.</t>
        </r>
      </text>
    </comment>
    <comment ref="E175" authorId="0" shapeId="0" xr:uid="{00000000-0006-0000-0300-000010000000}">
      <text>
        <r>
          <rPr>
            <b/>
            <sz val="9"/>
            <color indexed="81"/>
            <rFont val="Tahoma"/>
            <family val="2"/>
          </rPr>
          <t>Phillip Beardmore:</t>
        </r>
        <r>
          <rPr>
            <sz val="9"/>
            <color indexed="81"/>
            <rFont val="Tahoma"/>
            <family val="2"/>
          </rPr>
          <t xml:space="preserve">
$100,000 per annum for an analyst,
$140,000 per annum for a team leader / manager,
See p.63 of PWC July 2016 report.</t>
        </r>
      </text>
    </comment>
    <comment ref="B186" authorId="0" shapeId="0" xr:uid="{00000000-0006-0000-0300-000011000000}">
      <text>
        <r>
          <rPr>
            <b/>
            <sz val="9"/>
            <color indexed="81"/>
            <rFont val="Tahoma"/>
            <family val="2"/>
          </rPr>
          <t>Phillip Beardmore:</t>
        </r>
        <r>
          <rPr>
            <sz val="9"/>
            <color indexed="81"/>
            <rFont val="Tahoma"/>
            <family val="2"/>
          </rPr>
          <t xml:space="preserve">
See p.28 of PWC July 2016 report.</t>
        </r>
      </text>
    </comment>
    <comment ref="D199" authorId="0" shapeId="0" xr:uid="{284FC977-8F62-432A-9508-17234E25A86E}">
      <text>
        <r>
          <rPr>
            <b/>
            <sz val="9"/>
            <color indexed="81"/>
            <rFont val="Tahoma"/>
            <family val="2"/>
          </rPr>
          <t>Phillip Beardmore:</t>
        </r>
        <r>
          <rPr>
            <sz val="9"/>
            <color indexed="81"/>
            <rFont val="Tahoma"/>
            <family val="2"/>
          </rPr>
          <t xml:space="preserve">
See p.8 of PWC July 2016 report.</t>
        </r>
      </text>
    </comment>
    <comment ref="D210" authorId="0" shapeId="0" xr:uid="{8789EB68-2DE6-413E-B0FC-484D65DAF95A}">
      <text>
        <r>
          <rPr>
            <b/>
            <sz val="9"/>
            <color indexed="81"/>
            <rFont val="Tahoma"/>
            <family val="2"/>
          </rPr>
          <t>Phillip Beardmore:</t>
        </r>
        <r>
          <rPr>
            <sz val="9"/>
            <color indexed="81"/>
            <rFont val="Tahoma"/>
            <family val="2"/>
          </rPr>
          <t xml:space="preserve">
See p.8 of PWC July 2016 report.</t>
        </r>
      </text>
    </comment>
  </commentList>
</comments>
</file>

<file path=xl/sharedStrings.xml><?xml version="1.0" encoding="utf-8"?>
<sst xmlns="http://schemas.openxmlformats.org/spreadsheetml/2006/main" count="574" uniqueCount="169">
  <si>
    <t>Scenario</t>
  </si>
  <si>
    <t>TPM development ($M)</t>
  </si>
  <si>
    <t>Systems implementation ($M)</t>
  </si>
  <si>
    <t>Hardware/Software &amp; support ($M)</t>
  </si>
  <si>
    <t>Systems Implementation &amp; 5 year operation ($M)</t>
  </si>
  <si>
    <t>2012 Proposal</t>
  </si>
  <si>
    <t>Lower complexity</t>
  </si>
  <si>
    <t>High complexity</t>
  </si>
  <si>
    <t>Medium complexity</t>
  </si>
  <si>
    <t>not assessed</t>
  </si>
  <si>
    <t>Lower range</t>
  </si>
  <si>
    <t>Upper range</t>
  </si>
  <si>
    <t>Note:</t>
  </si>
  <si>
    <t>The sensitivities for TPM development and Systems implementation are estimated based on complexity reductions from the High scenario.</t>
  </si>
  <si>
    <t>The underlying assumptions are that 20-100% of efforts could be avoided on a per change basis.</t>
  </si>
  <si>
    <t>FTE increase</t>
  </si>
  <si>
    <t>Cost ($000)</t>
  </si>
  <si>
    <t>Pricing &amp; finance</t>
  </si>
  <si>
    <t>Customer solutions</t>
  </si>
  <si>
    <t>Business enterprise</t>
  </si>
  <si>
    <t>Consultation</t>
  </si>
  <si>
    <t>Reporting &amp; billing</t>
  </si>
  <si>
    <t>Vendor support</t>
  </si>
  <si>
    <t>System planning</t>
  </si>
  <si>
    <t>Metering</t>
  </si>
  <si>
    <t>Total</t>
  </si>
  <si>
    <t>TPM development</t>
  </si>
  <si>
    <t>Internal SME</t>
  </si>
  <si>
    <t>Regulatory &amp; Pricing</t>
  </si>
  <si>
    <t>External support</t>
  </si>
  <si>
    <t>Legal</t>
  </si>
  <si>
    <t>Cost to submit</t>
  </si>
  <si>
    <t>Team</t>
  </si>
  <si>
    <t>Involvement</t>
  </si>
  <si>
    <t>Costs</t>
  </si>
  <si>
    <t>Months</t>
  </si>
  <si>
    <t>FTE</t>
  </si>
  <si>
    <t>Total ($000)</t>
  </si>
  <si>
    <t>Unit ($000) / month</t>
  </si>
  <si>
    <t>High complexity scenario</t>
  </si>
  <si>
    <t>TPM implementation and operation</t>
  </si>
  <si>
    <t>Effort (days)</t>
  </si>
  <si>
    <t>Technology</t>
  </si>
  <si>
    <t>Business process</t>
  </si>
  <si>
    <t>Change management</t>
  </si>
  <si>
    <t>Sector engagement</t>
  </si>
  <si>
    <t>Hardware / Software</t>
  </si>
  <si>
    <t>Av. unit cost (daily)</t>
  </si>
  <si>
    <t>% of total cost</t>
  </si>
  <si>
    <t>Project management / Governance</t>
  </si>
  <si>
    <t>FTEs</t>
  </si>
  <si>
    <t>(approx)</t>
  </si>
  <si>
    <t>per month</t>
  </si>
  <si>
    <t>Initial set-up cost</t>
  </si>
  <si>
    <t>Increase in ongoing costs</t>
  </si>
  <si>
    <t>Medium complexity scenario</t>
  </si>
  <si>
    <t>Lower complexity scenario</t>
  </si>
  <si>
    <t>FTE cost p.a. ($000)</t>
  </si>
  <si>
    <t>N/A</t>
  </si>
  <si>
    <t>Initial set-up costs</t>
  </si>
  <si>
    <t>(18 month implementation)</t>
  </si>
  <si>
    <t>Ongoing costs - Year 1 (Operational implementation)</t>
  </si>
  <si>
    <t>Ongoing costs - per annum cost for Years 2-5</t>
  </si>
  <si>
    <t>Check</t>
  </si>
  <si>
    <t>Difference</t>
  </si>
  <si>
    <t>Finance</t>
  </si>
  <si>
    <t>Customer</t>
  </si>
  <si>
    <t>Pricing, Regulatory</t>
  </si>
  <si>
    <t>IST</t>
  </si>
  <si>
    <t>Non-personnel costs</t>
  </si>
  <si>
    <t>Year 1 operation (Operational Implementation) ($M)</t>
  </si>
  <si>
    <t>Years 2-5 operation (Annual ongoing costs) ($M / p.a.)</t>
  </si>
  <si>
    <t>(18 month timeframe)</t>
  </si>
  <si>
    <t>Unit</t>
  </si>
  <si>
    <t>Transpower's 2016 estimate of its TPM development costs</t>
  </si>
  <si>
    <t>Total cost</t>
  </si>
  <si>
    <t>Total FTEs over 12 months</t>
  </si>
  <si>
    <t>Total FTEs over 8 months</t>
  </si>
  <si>
    <t>Transpower's 2016 estimate scaled back by 33% to remove estimated cost of additional TPM components of 2016 proposal</t>
  </si>
  <si>
    <t>Total FTEs over 18 months</t>
  </si>
  <si>
    <t>Designated transmission customers' TPM development cost estimate</t>
  </si>
  <si>
    <t>Cost category</t>
  </si>
  <si>
    <t>Cost estimate per submission</t>
  </si>
  <si>
    <t>No. of submissions</t>
  </si>
  <si>
    <t>Cost</t>
  </si>
  <si>
    <t>Very high cost</t>
  </si>
  <si>
    <t>High cost</t>
  </si>
  <si>
    <t>Medium cost</t>
  </si>
  <si>
    <t>Low cost</t>
  </si>
  <si>
    <t>Negligible cost</t>
  </si>
  <si>
    <t>Authority's TPM development cost estimate</t>
  </si>
  <si>
    <t>Cost per FTE</t>
  </si>
  <si>
    <t>TPM development costs</t>
  </si>
  <si>
    <t>(combining cost of internal and external resources)</t>
  </si>
  <si>
    <t>Timeframe (years)</t>
  </si>
  <si>
    <t>Sensitivity (plus 50%)</t>
  </si>
  <si>
    <t>Sensitivity (minus 50%)</t>
  </si>
  <si>
    <t>Year</t>
  </si>
  <si>
    <t>Inflation rate</t>
  </si>
  <si>
    <t>Discount rate</t>
  </si>
  <si>
    <t>2019 dollars</t>
  </si>
  <si>
    <t>Designated transmission customers' TPM ongoing cost estimate - Transmission asset optimisation</t>
  </si>
  <si>
    <t>Cost estimate per DTC (year 10)</t>
  </si>
  <si>
    <t>No. of DTCs</t>
  </si>
  <si>
    <t>Year 10</t>
  </si>
  <si>
    <t>Year 20</t>
  </si>
  <si>
    <t>Year 30</t>
  </si>
  <si>
    <t>TPM implementation costs</t>
  </si>
  <si>
    <t>TPM ongoing costs</t>
  </si>
  <si>
    <t>Transpower's 2016 estimate of its TPM implementation costs</t>
  </si>
  <si>
    <t>Implementation period</t>
  </si>
  <si>
    <t>months</t>
  </si>
  <si>
    <t>1 FTE @$140,000 and 4 FTEs @$100,000</t>
  </si>
  <si>
    <t>0.5 FTE @$140,000 and 0.5 FTE @$100,000</t>
  </si>
  <si>
    <t>Policies/procedures / Validation of initial invoices</t>
  </si>
  <si>
    <t>Effort (weeks)</t>
  </si>
  <si>
    <t>Annual salary</t>
  </si>
  <si>
    <t>IT systems costs</t>
  </si>
  <si>
    <t>IT cost per distributor</t>
  </si>
  <si>
    <t>Years</t>
  </si>
  <si>
    <t>FTE cost p.a.</t>
  </si>
  <si>
    <t>0.5 FTE @$140,000 and 2.5 FTE @$100,000</t>
  </si>
  <si>
    <t>Not provided</t>
  </si>
  <si>
    <t>0.5 FTE @$140,000 and 3.5 FTE @$100,000</t>
  </si>
  <si>
    <t>0.5 FTE @$140,000 and 1.5 FTE @$100,000</t>
  </si>
  <si>
    <t>per month (approx)</t>
  </si>
  <si>
    <t>16 month implementation</t>
  </si>
  <si>
    <t>Cost estimate per DTC (year 20)</t>
  </si>
  <si>
    <t>Cost estimate per DTC (year 30)</t>
  </si>
  <si>
    <t>Total cost (year 10)</t>
  </si>
  <si>
    <t>Total cost (year 30)</t>
  </si>
  <si>
    <t>Total cost (year 20)</t>
  </si>
  <si>
    <t>No. of DTCs (applicants &amp; submitters) in process (year 10)</t>
  </si>
  <si>
    <t>No. of DTCs (applicants &amp; submitters) in process (year 30)</t>
  </si>
  <si>
    <t>No. of DTCs (applicants &amp; submitters) in process (year 20)</t>
  </si>
  <si>
    <t>Transpower's 2016 estimate scaled back by 25% to remove estimated cost of additional TPM components of 2016 proposal</t>
  </si>
  <si>
    <t>Designated transmission customers' TPM implementation cost estimate under 2019 proposed TPM guidelines</t>
  </si>
  <si>
    <t>Estimate of Transpower's implementation costs under Authority's preferred TPM under current TPM guidelines</t>
  </si>
  <si>
    <t>Estimate of incremental ongoing Transpower costs administering Authority's preferred TPM under current TPM guidelines</t>
  </si>
  <si>
    <t>per FTE</t>
  </si>
  <si>
    <t>Total Cost</t>
  </si>
  <si>
    <t>Implementation period is</t>
  </si>
  <si>
    <t>Initial set-up cost implementation period is</t>
  </si>
  <si>
    <t>per FTE per month</t>
  </si>
  <si>
    <t>Per Month</t>
  </si>
  <si>
    <t>Transpower's 2016 estimate of its TPM development costs (high complexity)</t>
  </si>
  <si>
    <t>Transpower's low complexity TPM development costs</t>
  </si>
  <si>
    <t>Transpower's 2016 estimate</t>
  </si>
  <si>
    <t>Reduced by $200,000 to remove the estimated cost of including the additional TPM components of the 2016 proposal in the 2019 TPM</t>
  </si>
  <si>
    <t>Transpower's 2016 high complexity estimate, reduced by $200,000 to remove the estimated cost of including the additional TPM components of the 2016 proposal in the 2019 TPM</t>
  </si>
  <si>
    <t>For mid-point cost reduction estimate, assume:</t>
  </si>
  <si>
    <t>Mid-point</t>
  </si>
  <si>
    <t>Estimated cost reduction range:</t>
  </si>
  <si>
    <t>to</t>
  </si>
  <si>
    <t>FTE external support for 8 months</t>
  </si>
  <si>
    <t>FTE internal resource for 8 months</t>
  </si>
  <si>
    <t>Reduced by:</t>
  </si>
  <si>
    <t xml:space="preserve"> to remove the estimated cost of developing a simplified AoB charge, and to include the estimated cost of developing a MWh residual charge and the proposed PDP</t>
  </si>
  <si>
    <t>Cost of developing a simplified AoB charge estimated to represent approximately 50% of low complexity TPM development costs (ie, $1.3 million)</t>
  </si>
  <si>
    <t>Cost of developing a MWh residual charge and the proposed PDP estimated to be approximately 25% of low complexity TPM development costs (ie, $0.65 million)</t>
  </si>
  <si>
    <t>Assume Transpower fulltime equivalents are reduced proportionally across different types of resource (ie, internal SME, regulatory &amp; pricing, external support, legal)</t>
  </si>
  <si>
    <t>Total (2019 dollars)</t>
  </si>
  <si>
    <t>Total incremental ongoing Transpower costs (2019 dollars)</t>
  </si>
  <si>
    <t>Ongoing costs - Years 2-5</t>
  </si>
  <si>
    <t>Per annum cost</t>
  </si>
  <si>
    <t>Ongoing costs - Years 6-30</t>
  </si>
  <si>
    <t xml:space="preserve">Per annum cost </t>
  </si>
  <si>
    <t>Ongoing costs - Years 2-30</t>
  </si>
  <si>
    <t>Total cost (2019 dollars)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</si>
</sst>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;[Red]\-&quot;$&quot;#,##0"/>
    <numFmt numFmtId="164" formatCode="&quot;$&quot;#,##0_);[Red]\(&quot;$&quot;#,##0\)"/>
    <numFmt numFmtId="165" formatCode="&quot;$&quot;#,##0.00_);[Red]\(&quot;$&quot;#,##0.00\)"/>
    <numFmt numFmtId="166" formatCode="_(&quot;$&quot;* #,##0.00_);_(&quot;$&quot;* \(#,##0.00\);_(&quot;$&quot;* &quot;-&quot;??_);_(@_)"/>
    <numFmt numFmtId="167" formatCode="0.000"/>
    <numFmt numFmtId="168" formatCode="&quot;$&quot;#,##0.00;[Red]&quot;$&quot;#,##0.00"/>
    <numFmt numFmtId="169" formatCode="&quot;$&quot;#,##0;[Red]&quot;$&quot;#,##0"/>
    <numFmt numFmtId="170" formatCode="0.0"/>
    <numFmt numFmtId="171" formatCode="&quot;$&quot;#,##0.00"/>
    <numFmt numFmtId="172" formatCode="&quot;$&quot;#,##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theme="1" tint="0.14999847407452621"/>
      <name val="Calibri"/>
      <family val="2"/>
      <scheme val="minor"/>
    </font>
    <font>
      <b/>
      <i/>
      <sz val="11"/>
      <color theme="1" tint="0.1499984740745262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19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2" fillId="0" borderId="0" xfId="0" applyFont="1"/>
    <xf numFmtId="0" fontId="3" fillId="0" borderId="0" xfId="0" applyFont="1"/>
    <xf numFmtId="0" fontId="0" fillId="0" borderId="1" xfId="0" applyBorder="1"/>
    <xf numFmtId="10" fontId="0" fillId="0" borderId="0" xfId="0" applyNumberFormat="1"/>
    <xf numFmtId="0" fontId="0" fillId="4" borderId="0" xfId="0" applyFill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1" xfId="0" applyBorder="1" applyAlignment="1">
      <alignment wrapText="1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0" fillId="7" borderId="0" xfId="0" applyFill="1"/>
    <xf numFmtId="0" fontId="0" fillId="7" borderId="0" xfId="0" applyFill="1" applyAlignment="1">
      <alignment horizontal="center"/>
    </xf>
    <xf numFmtId="0" fontId="6" fillId="0" borderId="1" xfId="0" applyFont="1" applyBorder="1"/>
    <xf numFmtId="0" fontId="3" fillId="6" borderId="1" xfId="0" applyFont="1" applyFill="1" applyBorder="1"/>
    <xf numFmtId="0" fontId="3" fillId="6" borderId="0" xfId="0" applyFont="1" applyFill="1"/>
    <xf numFmtId="164" fontId="0" fillId="0" borderId="0" xfId="0" applyNumberFormat="1"/>
    <xf numFmtId="0" fontId="0" fillId="8" borderId="0" xfId="0" applyFill="1"/>
    <xf numFmtId="0" fontId="3" fillId="8" borderId="0" xfId="0" applyFont="1" applyFill="1"/>
    <xf numFmtId="164" fontId="0" fillId="8" borderId="0" xfId="0" applyNumberFormat="1" applyFill="1"/>
    <xf numFmtId="0" fontId="3" fillId="9" borderId="0" xfId="0" applyFont="1" applyFill="1"/>
    <xf numFmtId="0" fontId="0" fillId="9" borderId="0" xfId="0" applyFill="1"/>
    <xf numFmtId="164" fontId="0" fillId="9" borderId="0" xfId="0" applyNumberFormat="1" applyFill="1"/>
    <xf numFmtId="2" fontId="0" fillId="9" borderId="0" xfId="0" applyNumberFormat="1" applyFill="1"/>
    <xf numFmtId="0" fontId="0" fillId="10" borderId="0" xfId="0" applyFill="1"/>
    <xf numFmtId="0" fontId="3" fillId="4" borderId="0" xfId="0" applyFont="1" applyFill="1"/>
    <xf numFmtId="0" fontId="0" fillId="6" borderId="0" xfId="0" applyFill="1"/>
    <xf numFmtId="164" fontId="0" fillId="6" borderId="0" xfId="0" applyNumberFormat="1" applyFill="1"/>
    <xf numFmtId="164" fontId="0" fillId="11" borderId="0" xfId="0" applyNumberFormat="1" applyFill="1"/>
    <xf numFmtId="9" fontId="0" fillId="2" borderId="0" xfId="0" applyNumberFormat="1" applyFill="1"/>
    <xf numFmtId="0" fontId="9" fillId="0" borderId="0" xfId="0" applyFont="1"/>
    <xf numFmtId="0" fontId="0" fillId="9" borderId="1" xfId="0" applyFill="1" applyBorder="1"/>
    <xf numFmtId="0" fontId="0" fillId="8" borderId="1" xfId="0" applyFill="1" applyBorder="1"/>
    <xf numFmtId="0" fontId="10" fillId="8" borderId="0" xfId="0" applyFont="1" applyFill="1"/>
    <xf numFmtId="0" fontId="6" fillId="6" borderId="0" xfId="0" applyFont="1" applyFill="1"/>
    <xf numFmtId="0" fontId="10" fillId="9" borderId="0" xfId="0" applyFont="1" applyFill="1"/>
    <xf numFmtId="2" fontId="6" fillId="9" borderId="0" xfId="0" applyNumberFormat="1" applyFont="1" applyFill="1" applyAlignment="1">
      <alignment horizontal="left"/>
    </xf>
    <xf numFmtId="165" fontId="0" fillId="9" borderId="0" xfId="0" applyNumberFormat="1" applyFill="1"/>
    <xf numFmtId="0" fontId="10" fillId="10" borderId="0" xfId="0" applyFont="1" applyFill="1"/>
    <xf numFmtId="9" fontId="0" fillId="9" borderId="0" xfId="0" applyNumberFormat="1" applyFill="1"/>
    <xf numFmtId="9" fontId="0" fillId="10" borderId="0" xfId="0" applyNumberFormat="1" applyFill="1"/>
    <xf numFmtId="2" fontId="6" fillId="10" borderId="0" xfId="0" applyNumberFormat="1" applyFont="1" applyFill="1" applyAlignment="1">
      <alignment horizontal="left"/>
    </xf>
    <xf numFmtId="165" fontId="0" fillId="10" borderId="0" xfId="0" applyNumberFormat="1" applyFill="1"/>
    <xf numFmtId="0" fontId="0" fillId="10" borderId="1" xfId="0" applyFill="1" applyBorder="1"/>
    <xf numFmtId="164" fontId="0" fillId="10" borderId="0" xfId="0" applyNumberFormat="1" applyFill="1"/>
    <xf numFmtId="0" fontId="4" fillId="5" borderId="0" xfId="0" applyFont="1" applyFill="1"/>
    <xf numFmtId="0" fontId="4" fillId="8" borderId="0" xfId="0" applyFont="1" applyFill="1"/>
    <xf numFmtId="0" fontId="4" fillId="7" borderId="0" xfId="0" applyFont="1" applyFill="1"/>
    <xf numFmtId="0" fontId="4" fillId="4" borderId="0" xfId="0" applyFont="1" applyFill="1"/>
    <xf numFmtId="0" fontId="0" fillId="12" borderId="0" xfId="0" applyFill="1"/>
    <xf numFmtId="10" fontId="0" fillId="12" borderId="0" xfId="0" applyNumberFormat="1" applyFill="1"/>
    <xf numFmtId="164" fontId="0" fillId="12" borderId="0" xfId="0" applyNumberFormat="1" applyFill="1"/>
    <xf numFmtId="164" fontId="0" fillId="6" borderId="2" xfId="0" applyNumberFormat="1" applyFill="1" applyBorder="1"/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8" borderId="0" xfId="0" applyFill="1"/>
    <xf numFmtId="164" fontId="0" fillId="3" borderId="0" xfId="0" applyNumberFormat="1" applyFill="1"/>
    <xf numFmtId="168" fontId="0" fillId="9" borderId="0" xfId="0" applyNumberFormat="1" applyFill="1"/>
    <xf numFmtId="0" fontId="0" fillId="13" borderId="0" xfId="0" applyFill="1"/>
    <xf numFmtId="0" fontId="3" fillId="13" borderId="0" xfId="0" applyFont="1" applyFill="1"/>
    <xf numFmtId="0" fontId="10" fillId="13" borderId="0" xfId="0" applyFont="1" applyFill="1"/>
    <xf numFmtId="0" fontId="0" fillId="13" borderId="0" xfId="0" applyFill="1" applyAlignment="1">
      <alignment horizontal="center"/>
    </xf>
    <xf numFmtId="2" fontId="6" fillId="13" borderId="0" xfId="0" applyNumberFormat="1" applyFont="1" applyFill="1" applyAlignment="1">
      <alignment horizontal="left"/>
    </xf>
    <xf numFmtId="2" fontId="0" fillId="13" borderId="0" xfId="0" applyNumberFormat="1" applyFill="1"/>
    <xf numFmtId="165" fontId="0" fillId="13" borderId="0" xfId="0" applyNumberFormat="1" applyFill="1"/>
    <xf numFmtId="164" fontId="0" fillId="13" borderId="0" xfId="0" applyNumberFormat="1" applyFill="1"/>
    <xf numFmtId="0" fontId="0" fillId="13" borderId="1" xfId="0" applyFill="1" applyBorder="1"/>
    <xf numFmtId="0" fontId="13" fillId="8" borderId="0" xfId="0" applyFont="1" applyFill="1"/>
    <xf numFmtId="164" fontId="0" fillId="9" borderId="0" xfId="0" applyNumberFormat="1" applyFill="1" applyAlignment="1">
      <alignment horizontal="center"/>
    </xf>
    <xf numFmtId="164" fontId="0" fillId="8" borderId="0" xfId="0" applyNumberFormat="1" applyFill="1" applyAlignment="1">
      <alignment horizontal="center"/>
    </xf>
    <xf numFmtId="164" fontId="0" fillId="8" borderId="0" xfId="0" applyNumberFormat="1" applyFill="1" applyAlignment="1">
      <alignment horizontal="right"/>
    </xf>
    <xf numFmtId="0" fontId="0" fillId="8" borderId="0" xfId="0" applyFill="1" applyAlignment="1">
      <alignment horizontal="right"/>
    </xf>
    <xf numFmtId="164" fontId="0" fillId="2" borderId="0" xfId="0" applyNumberFormat="1" applyFill="1" applyAlignment="1">
      <alignment horizontal="right"/>
    </xf>
    <xf numFmtId="164" fontId="0" fillId="11" borderId="0" xfId="0" applyNumberFormat="1" applyFill="1" applyAlignment="1">
      <alignment horizontal="right"/>
    </xf>
    <xf numFmtId="164" fontId="0" fillId="9" borderId="0" xfId="0" applyNumberFormat="1" applyFill="1" applyAlignment="1">
      <alignment horizontal="right"/>
    </xf>
    <xf numFmtId="0" fontId="0" fillId="9" borderId="0" xfId="0" applyFill="1" applyAlignment="1">
      <alignment horizontal="right"/>
    </xf>
    <xf numFmtId="164" fontId="14" fillId="9" borderId="0" xfId="0" applyNumberFormat="1" applyFont="1" applyFill="1" applyAlignment="1">
      <alignment horizontal="right"/>
    </xf>
    <xf numFmtId="0" fontId="14" fillId="9" borderId="0" xfId="0" applyFont="1" applyFill="1" applyAlignment="1">
      <alignment horizontal="right"/>
    </xf>
    <xf numFmtId="0" fontId="2" fillId="9" borderId="0" xfId="0" applyFont="1" applyFill="1" applyAlignment="1">
      <alignment horizontal="center"/>
    </xf>
    <xf numFmtId="0" fontId="2" fillId="9" borderId="0" xfId="0" applyFont="1" applyFill="1"/>
    <xf numFmtId="0" fontId="15" fillId="9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2" fillId="8" borderId="0" xfId="0" applyFont="1" applyFill="1"/>
    <xf numFmtId="9" fontId="3" fillId="3" borderId="0" xfId="1" applyFont="1" applyFill="1" applyAlignment="1">
      <alignment horizontal="right"/>
    </xf>
    <xf numFmtId="0" fontId="12" fillId="8" borderId="0" xfId="0" applyFont="1" applyFill="1" applyAlignment="1">
      <alignment horizontal="right"/>
    </xf>
    <xf numFmtId="0" fontId="0" fillId="4" borderId="0" xfId="0" applyFill="1" applyAlignment="1">
      <alignment horizontal="right"/>
    </xf>
    <xf numFmtId="0" fontId="0" fillId="6" borderId="0" xfId="0" applyFill="1" applyAlignment="1">
      <alignment horizontal="right"/>
    </xf>
    <xf numFmtId="0" fontId="0" fillId="6" borderId="0" xfId="0" applyFill="1" applyAlignment="1">
      <alignment horizontal="center"/>
    </xf>
    <xf numFmtId="164" fontId="0" fillId="4" borderId="0" xfId="0" applyNumberFormat="1" applyFill="1" applyAlignment="1">
      <alignment horizontal="right"/>
    </xf>
    <xf numFmtId="0" fontId="0" fillId="0" borderId="0" xfId="0" applyAlignment="1">
      <alignment horizontal="right"/>
    </xf>
    <xf numFmtId="0" fontId="0" fillId="8" borderId="0" xfId="0" applyFill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8" borderId="0" xfId="0" applyFill="1" applyAlignment="1">
      <alignment vertical="center"/>
    </xf>
    <xf numFmtId="0" fontId="3" fillId="8" borderId="0" xfId="0" applyFont="1" applyFill="1" applyAlignment="1">
      <alignment vertical="center"/>
    </xf>
    <xf numFmtId="0" fontId="0" fillId="9" borderId="0" xfId="0" applyFill="1" applyAlignment="1">
      <alignment vertical="center"/>
    </xf>
    <xf numFmtId="0" fontId="3" fillId="9" borderId="0" xfId="0" applyFont="1" applyFill="1" applyAlignment="1">
      <alignment vertical="center"/>
    </xf>
    <xf numFmtId="2" fontId="6" fillId="9" borderId="0" xfId="0" applyNumberFormat="1" applyFont="1" applyFill="1" applyAlignment="1">
      <alignment horizontal="left" vertical="center"/>
    </xf>
    <xf numFmtId="0" fontId="0" fillId="9" borderId="0" xfId="0" applyFill="1" applyAlignment="1">
      <alignment horizontal="center" vertical="center"/>
    </xf>
    <xf numFmtId="164" fontId="0" fillId="9" borderId="0" xfId="0" applyNumberFormat="1" applyFill="1" applyAlignment="1">
      <alignment vertical="center"/>
    </xf>
    <xf numFmtId="0" fontId="0" fillId="9" borderId="1" xfId="0" applyFill="1" applyBorder="1" applyAlignment="1">
      <alignment vertical="center"/>
    </xf>
    <xf numFmtId="164" fontId="0" fillId="11" borderId="0" xfId="0" applyNumberFormat="1" applyFill="1" applyAlignment="1">
      <alignment vertical="center"/>
    </xf>
    <xf numFmtId="0" fontId="0" fillId="6" borderId="0" xfId="0" applyFill="1" applyAlignment="1">
      <alignment vertical="center"/>
    </xf>
    <xf numFmtId="0" fontId="3" fillId="6" borderId="0" xfId="0" applyFont="1" applyFill="1" applyAlignment="1">
      <alignment vertical="center"/>
    </xf>
    <xf numFmtId="164" fontId="0" fillId="6" borderId="0" xfId="0" applyNumberForma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0" fontId="0" fillId="8" borderId="0" xfId="0" applyFill="1" applyAlignment="1">
      <alignment horizontal="right" vertical="center"/>
    </xf>
    <xf numFmtId="0" fontId="0" fillId="8" borderId="0" xfId="0" applyFill="1" applyAlignment="1">
      <alignment horizontal="right" vertical="center" wrapText="1"/>
    </xf>
    <xf numFmtId="0" fontId="0" fillId="8" borderId="1" xfId="0" applyFill="1" applyBorder="1" applyAlignment="1">
      <alignment horizontal="right" vertical="center"/>
    </xf>
    <xf numFmtId="0" fontId="0" fillId="9" borderId="0" xfId="0" applyFill="1" applyAlignment="1">
      <alignment horizontal="right" vertical="center"/>
    </xf>
    <xf numFmtId="0" fontId="0" fillId="9" borderId="0" xfId="0" applyFill="1" applyAlignment="1">
      <alignment horizontal="right" vertical="center" wrapText="1"/>
    </xf>
    <xf numFmtId="0" fontId="0" fillId="9" borderId="1" xfId="0" applyFill="1" applyBorder="1" applyAlignment="1">
      <alignment horizontal="right" vertical="center"/>
    </xf>
    <xf numFmtId="0" fontId="0" fillId="6" borderId="0" xfId="0" applyFill="1" applyAlignment="1">
      <alignment horizontal="right" vertical="center"/>
    </xf>
    <xf numFmtId="0" fontId="6" fillId="8" borderId="0" xfId="0" applyFont="1" applyFill="1" applyAlignment="1">
      <alignment vertical="center"/>
    </xf>
    <xf numFmtId="164" fontId="6" fillId="8" borderId="0" xfId="0" applyNumberFormat="1" applyFont="1" applyFill="1" applyAlignment="1">
      <alignment vertical="center"/>
    </xf>
    <xf numFmtId="0" fontId="6" fillId="9" borderId="0" xfId="0" applyFont="1" applyFill="1" applyAlignment="1">
      <alignment vertical="center"/>
    </xf>
    <xf numFmtId="164" fontId="6" fillId="9" borderId="0" xfId="0" applyNumberFormat="1" applyFont="1" applyFill="1" applyAlignment="1">
      <alignment vertical="center"/>
    </xf>
    <xf numFmtId="0" fontId="0" fillId="9" borderId="0" xfId="0" applyFill="1" applyAlignment="1">
      <alignment horizontal="center" vertical="center" wrapText="1"/>
    </xf>
    <xf numFmtId="2" fontId="6" fillId="9" borderId="0" xfId="0" applyNumberFormat="1" applyFon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8" borderId="3" xfId="0" applyFill="1" applyBorder="1" applyAlignment="1">
      <alignment horizontal="center"/>
    </xf>
    <xf numFmtId="164" fontId="0" fillId="8" borderId="3" xfId="0" applyNumberFormat="1" applyFill="1" applyBorder="1" applyAlignment="1">
      <alignment horizontal="right"/>
    </xf>
    <xf numFmtId="0" fontId="0" fillId="8" borderId="3" xfId="0" applyFill="1" applyBorder="1" applyAlignment="1">
      <alignment horizontal="right"/>
    </xf>
    <xf numFmtId="2" fontId="0" fillId="8" borderId="3" xfId="0" applyNumberFormat="1" applyFill="1" applyBorder="1" applyAlignment="1">
      <alignment horizontal="center"/>
    </xf>
    <xf numFmtId="170" fontId="0" fillId="8" borderId="3" xfId="0" applyNumberFormat="1" applyFill="1" applyBorder="1" applyAlignment="1">
      <alignment horizontal="center"/>
    </xf>
    <xf numFmtId="0" fontId="0" fillId="4" borderId="6" xfId="0" applyFill="1" applyBorder="1" applyAlignment="1">
      <alignment horizontal="right"/>
    </xf>
    <xf numFmtId="0" fontId="0" fillId="4" borderId="6" xfId="0" applyFill="1" applyBorder="1"/>
    <xf numFmtId="0" fontId="0" fillId="4" borderId="6" xfId="0" applyFill="1" applyBorder="1" applyAlignment="1">
      <alignment horizontal="center"/>
    </xf>
    <xf numFmtId="164" fontId="0" fillId="4" borderId="6" xfId="0" applyNumberFormat="1" applyFill="1" applyBorder="1" applyAlignment="1">
      <alignment horizontal="right"/>
    </xf>
    <xf numFmtId="164" fontId="0" fillId="6" borderId="3" xfId="0" applyNumberFormat="1" applyFill="1" applyBorder="1"/>
    <xf numFmtId="0" fontId="0" fillId="6" borderId="3" xfId="0" applyFill="1" applyBorder="1"/>
    <xf numFmtId="0" fontId="0" fillId="6" borderId="3" xfId="0" applyFill="1" applyBorder="1" applyAlignment="1">
      <alignment horizontal="center"/>
    </xf>
    <xf numFmtId="0" fontId="2" fillId="6" borderId="0" xfId="0" applyFont="1" applyFill="1" applyAlignment="1">
      <alignment horizontal="center" vertical="center" wrapText="1"/>
    </xf>
    <xf numFmtId="0" fontId="2" fillId="6" borderId="0" xfId="0" applyFont="1" applyFill="1" applyAlignment="1">
      <alignment horizontal="center" vertical="center"/>
    </xf>
    <xf numFmtId="3" fontId="0" fillId="8" borderId="3" xfId="0" applyNumberFormat="1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164" fontId="0" fillId="8" borderId="3" xfId="0" applyNumberFormat="1" applyFill="1" applyBorder="1" applyAlignment="1">
      <alignment vertical="center"/>
    </xf>
    <xf numFmtId="164" fontId="0" fillId="8" borderId="4" xfId="0" applyNumberFormat="1" applyFill="1" applyBorder="1" applyAlignment="1">
      <alignment vertical="center"/>
    </xf>
    <xf numFmtId="165" fontId="0" fillId="8" borderId="3" xfId="0" applyNumberFormat="1" applyFill="1" applyBorder="1" applyAlignment="1">
      <alignment vertical="center"/>
    </xf>
    <xf numFmtId="10" fontId="0" fillId="8" borderId="3" xfId="1" applyNumberFormat="1" applyFont="1" applyFill="1" applyBorder="1" applyAlignment="1">
      <alignment horizontal="center" vertical="center"/>
    </xf>
    <xf numFmtId="10" fontId="0" fillId="8" borderId="4" xfId="1" applyNumberFormat="1" applyFont="1" applyFill="1" applyBorder="1" applyAlignment="1">
      <alignment horizontal="center" vertical="center"/>
    </xf>
    <xf numFmtId="0" fontId="0" fillId="8" borderId="3" xfId="0" applyFill="1" applyBorder="1" applyAlignment="1">
      <alignment vertical="center"/>
    </xf>
    <xf numFmtId="0" fontId="0" fillId="8" borderId="4" xfId="0" applyFill="1" applyBorder="1" applyAlignment="1">
      <alignment vertical="center"/>
    </xf>
    <xf numFmtId="0" fontId="2" fillId="8" borderId="0" xfId="0" applyFont="1" applyFill="1" applyAlignment="1">
      <alignment horizontal="center" vertical="center"/>
    </xf>
    <xf numFmtId="0" fontId="2" fillId="8" borderId="0" xfId="0" applyFont="1" applyFill="1" applyAlignment="1">
      <alignment horizontal="center" vertical="center" wrapText="1"/>
    </xf>
    <xf numFmtId="3" fontId="2" fillId="8" borderId="3" xfId="0" applyNumberFormat="1" applyFont="1" applyFill="1" applyBorder="1" applyAlignment="1">
      <alignment horizontal="center" vertical="center"/>
    </xf>
    <xf numFmtId="164" fontId="2" fillId="8" borderId="3" xfId="0" applyNumberFormat="1" applyFont="1" applyFill="1" applyBorder="1" applyAlignment="1">
      <alignment vertical="center"/>
    </xf>
    <xf numFmtId="10" fontId="2" fillId="8" borderId="3" xfId="0" applyNumberFormat="1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3" fontId="0" fillId="9" borderId="3" xfId="0" applyNumberFormat="1" applyFill="1" applyBorder="1" applyAlignment="1">
      <alignment horizontal="center" vertical="center"/>
    </xf>
    <xf numFmtId="1" fontId="0" fillId="9" borderId="3" xfId="0" applyNumberFormat="1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164" fontId="0" fillId="9" borderId="3" xfId="0" applyNumberFormat="1" applyFill="1" applyBorder="1" applyAlignment="1">
      <alignment vertical="center"/>
    </xf>
    <xf numFmtId="164" fontId="0" fillId="9" borderId="4" xfId="0" applyNumberFormat="1" applyFill="1" applyBorder="1" applyAlignment="1">
      <alignment vertical="center"/>
    </xf>
    <xf numFmtId="165" fontId="0" fillId="9" borderId="3" xfId="0" applyNumberFormat="1" applyFill="1" applyBorder="1" applyAlignment="1">
      <alignment vertical="center"/>
    </xf>
    <xf numFmtId="10" fontId="0" fillId="9" borderId="3" xfId="1" applyNumberFormat="1" applyFont="1" applyFill="1" applyBorder="1" applyAlignment="1">
      <alignment horizontal="center" vertical="center"/>
    </xf>
    <xf numFmtId="10" fontId="0" fillId="9" borderId="4" xfId="1" applyNumberFormat="1" applyFont="1" applyFill="1" applyBorder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0" fontId="2" fillId="9" borderId="0" xfId="0" applyFont="1" applyFill="1" applyAlignment="1">
      <alignment horizontal="center" vertical="center" wrapText="1"/>
    </xf>
    <xf numFmtId="3" fontId="2" fillId="9" borderId="0" xfId="0" applyNumberFormat="1" applyFont="1" applyFill="1" applyAlignment="1">
      <alignment horizontal="center" vertical="center"/>
    </xf>
    <xf numFmtId="10" fontId="2" fillId="9" borderId="0" xfId="0" applyNumberFormat="1" applyFont="1" applyFill="1" applyAlignment="1">
      <alignment horizontal="center" vertical="center"/>
    </xf>
    <xf numFmtId="164" fontId="2" fillId="9" borderId="0" xfId="0" applyNumberFormat="1" applyFont="1" applyFill="1" applyAlignment="1">
      <alignment vertical="center"/>
    </xf>
    <xf numFmtId="2" fontId="2" fillId="9" borderId="0" xfId="0" applyNumberFormat="1" applyFont="1" applyFill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164" fontId="0" fillId="6" borderId="6" xfId="0" applyNumberFormat="1" applyFill="1" applyBorder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4" fontId="0" fillId="11" borderId="0" xfId="0" applyNumberFormat="1" applyFill="1" applyAlignment="1">
      <alignment horizontal="center" vertical="center"/>
    </xf>
    <xf numFmtId="2" fontId="0" fillId="13" borderId="3" xfId="0" applyNumberFormat="1" applyFill="1" applyBorder="1" applyAlignment="1">
      <alignment horizontal="center"/>
    </xf>
    <xf numFmtId="2" fontId="0" fillId="13" borderId="4" xfId="0" applyNumberFormat="1" applyFill="1" applyBorder="1" applyAlignment="1">
      <alignment horizontal="center"/>
    </xf>
    <xf numFmtId="164" fontId="0" fillId="13" borderId="3" xfId="0" applyNumberFormat="1" applyFill="1" applyBorder="1"/>
    <xf numFmtId="164" fontId="0" fillId="13" borderId="4" xfId="0" applyNumberFormat="1" applyFill="1" applyBorder="1"/>
    <xf numFmtId="165" fontId="0" fillId="13" borderId="3" xfId="0" applyNumberFormat="1" applyFill="1" applyBorder="1"/>
    <xf numFmtId="165" fontId="0" fillId="13" borderId="4" xfId="0" applyNumberFormat="1" applyFill="1" applyBorder="1"/>
    <xf numFmtId="164" fontId="0" fillId="13" borderId="3" xfId="0" applyNumberFormat="1" applyFill="1" applyBorder="1" applyAlignment="1">
      <alignment horizontal="center"/>
    </xf>
    <xf numFmtId="164" fontId="0" fillId="13" borderId="4" xfId="0" applyNumberFormat="1" applyFill="1" applyBorder="1" applyAlignment="1">
      <alignment horizontal="center"/>
    </xf>
    <xf numFmtId="165" fontId="0" fillId="13" borderId="3" xfId="0" applyNumberFormat="1" applyFill="1" applyBorder="1" applyAlignment="1">
      <alignment horizontal="center"/>
    </xf>
    <xf numFmtId="165" fontId="0" fillId="13" borderId="4" xfId="0" applyNumberFormat="1" applyFill="1" applyBorder="1" applyAlignment="1">
      <alignment horizontal="center"/>
    </xf>
    <xf numFmtId="167" fontId="0" fillId="13" borderId="3" xfId="0" applyNumberFormat="1" applyFill="1" applyBorder="1" applyAlignment="1">
      <alignment horizontal="center"/>
    </xf>
    <xf numFmtId="172" fontId="0" fillId="13" borderId="0" xfId="0" applyNumberFormat="1" applyFill="1" applyAlignment="1">
      <alignment horizontal="center"/>
    </xf>
    <xf numFmtId="0" fontId="16" fillId="13" borderId="0" xfId="0" applyFont="1" applyFill="1"/>
    <xf numFmtId="165" fontId="0" fillId="10" borderId="3" xfId="0" applyNumberFormat="1" applyFill="1" applyBorder="1"/>
    <xf numFmtId="165" fontId="0" fillId="10" borderId="4" xfId="0" applyNumberFormat="1" applyFill="1" applyBorder="1"/>
    <xf numFmtId="2" fontId="0" fillId="10" borderId="0" xfId="0" applyNumberFormat="1" applyFill="1" applyAlignment="1">
      <alignment horizontal="center"/>
    </xf>
    <xf numFmtId="0" fontId="0" fillId="10" borderId="3" xfId="0" applyFill="1" applyBorder="1" applyAlignment="1">
      <alignment horizontal="center"/>
    </xf>
    <xf numFmtId="2" fontId="0" fillId="10" borderId="3" xfId="0" applyNumberFormat="1" applyFill="1" applyBorder="1" applyAlignment="1">
      <alignment horizontal="center"/>
    </xf>
    <xf numFmtId="2" fontId="0" fillId="10" borderId="4" xfId="0" applyNumberFormat="1" applyFill="1" applyBorder="1" applyAlignment="1">
      <alignment horizontal="center"/>
    </xf>
    <xf numFmtId="165" fontId="0" fillId="10" borderId="3" xfId="0" applyNumberFormat="1" applyFill="1" applyBorder="1" applyAlignment="1">
      <alignment horizontal="right"/>
    </xf>
    <xf numFmtId="165" fontId="0" fillId="10" borderId="4" xfId="0" applyNumberFormat="1" applyFill="1" applyBorder="1" applyAlignment="1">
      <alignment horizontal="right"/>
    </xf>
    <xf numFmtId="171" fontId="0" fillId="10" borderId="0" xfId="0" applyNumberFormat="1" applyFill="1" applyAlignment="1">
      <alignment horizontal="right"/>
    </xf>
    <xf numFmtId="0" fontId="0" fillId="10" borderId="0" xfId="0" applyFill="1" applyAlignment="1">
      <alignment horizontal="right"/>
    </xf>
    <xf numFmtId="0" fontId="0" fillId="8" borderId="4" xfId="0" applyFill="1" applyBorder="1" applyAlignment="1">
      <alignment horizontal="center"/>
    </xf>
    <xf numFmtId="164" fontId="0" fillId="8" borderId="3" xfId="0" applyNumberFormat="1" applyFill="1" applyBorder="1"/>
    <xf numFmtId="164" fontId="0" fillId="8" borderId="4" xfId="0" applyNumberFormat="1" applyFill="1" applyBorder="1"/>
    <xf numFmtId="164" fontId="0" fillId="8" borderId="4" xfId="0" applyNumberFormat="1" applyFill="1" applyBorder="1" applyAlignment="1">
      <alignment horizontal="center"/>
    </xf>
    <xf numFmtId="164" fontId="0" fillId="8" borderId="4" xfId="0" applyNumberFormat="1" applyFill="1" applyBorder="1" applyAlignment="1">
      <alignment horizontal="right"/>
    </xf>
    <xf numFmtId="0" fontId="2" fillId="10" borderId="0" xfId="0" applyFont="1" applyFill="1"/>
    <xf numFmtId="0" fontId="2" fillId="13" borderId="0" xfId="0" applyFont="1" applyFill="1"/>
    <xf numFmtId="0" fontId="2" fillId="13" borderId="0" xfId="0" applyFont="1" applyFill="1" applyAlignment="1">
      <alignment horizontal="center"/>
    </xf>
    <xf numFmtId="0" fontId="2" fillId="13" borderId="0" xfId="0" applyFont="1" applyFill="1" applyAlignment="1">
      <alignment horizontal="left"/>
    </xf>
    <xf numFmtId="0" fontId="0" fillId="6" borderId="2" xfId="0" applyFill="1" applyBorder="1"/>
    <xf numFmtId="0" fontId="0" fillId="6" borderId="1" xfId="0" applyFill="1" applyBorder="1"/>
    <xf numFmtId="164" fontId="0" fillId="6" borderId="1" xfId="0" applyNumberFormat="1" applyFill="1" applyBorder="1"/>
    <xf numFmtId="0" fontId="0" fillId="6" borderId="2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3" fillId="6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/>
    </xf>
    <xf numFmtId="171" fontId="0" fillId="0" borderId="3" xfId="0" applyNumberFormat="1" applyBorder="1"/>
    <xf numFmtId="171" fontId="0" fillId="0" borderId="4" xfId="0" applyNumberForma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71" fontId="0" fillId="12" borderId="3" xfId="0" applyNumberFormat="1" applyFill="1" applyBorder="1"/>
    <xf numFmtId="10" fontId="0" fillId="12" borderId="3" xfId="1" applyNumberFormat="1" applyFont="1" applyFill="1" applyBorder="1"/>
    <xf numFmtId="10" fontId="0" fillId="12" borderId="4" xfId="1" applyNumberFormat="1" applyFont="1" applyFill="1" applyBorder="1"/>
    <xf numFmtId="0" fontId="2" fillId="0" borderId="0" xfId="0" applyFont="1" applyAlignment="1">
      <alignment horizontal="center"/>
    </xf>
    <xf numFmtId="0" fontId="2" fillId="12" borderId="0" xfId="0" applyFont="1" applyFill="1" applyAlignment="1">
      <alignment horizontal="center"/>
    </xf>
    <xf numFmtId="172" fontId="0" fillId="0" borderId="3" xfId="0" applyNumberFormat="1" applyBorder="1"/>
    <xf numFmtId="172" fontId="0" fillId="12" borderId="3" xfId="0" applyNumberFormat="1" applyFill="1" applyBorder="1"/>
    <xf numFmtId="172" fontId="0" fillId="0" borderId="4" xfId="0" applyNumberFormat="1" applyBorder="1"/>
    <xf numFmtId="172" fontId="0" fillId="12" borderId="4" xfId="0" applyNumberFormat="1" applyFill="1" applyBorder="1"/>
    <xf numFmtId="172" fontId="0" fillId="7" borderId="0" xfId="0" applyNumberFormat="1" applyFill="1"/>
    <xf numFmtId="172" fontId="0" fillId="12" borderId="0" xfId="0" applyNumberFormat="1" applyFill="1"/>
    <xf numFmtId="0" fontId="0" fillId="0" borderId="0" xfId="0" applyAlignment="1"/>
    <xf numFmtId="172" fontId="2" fillId="0" borderId="0" xfId="0" applyNumberFormat="1" applyFont="1" applyAlignment="1">
      <alignment horizontal="center"/>
    </xf>
    <xf numFmtId="172" fontId="0" fillId="0" borderId="3" xfId="0" applyNumberFormat="1" applyBorder="1" applyAlignment="1"/>
    <xf numFmtId="172" fontId="0" fillId="0" borderId="4" xfId="0" applyNumberFormat="1" applyBorder="1" applyAlignment="1"/>
    <xf numFmtId="172" fontId="0" fillId="7" borderId="0" xfId="0" applyNumberFormat="1" applyFill="1" applyAlignment="1"/>
    <xf numFmtId="172" fontId="0" fillId="12" borderId="3" xfId="0" applyNumberFormat="1" applyFill="1" applyBorder="1" applyAlignment="1"/>
    <xf numFmtId="171" fontId="0" fillId="7" borderId="3" xfId="0" applyNumberFormat="1" applyFill="1" applyBorder="1"/>
    <xf numFmtId="0" fontId="0" fillId="12" borderId="0" xfId="0" applyFill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2" borderId="3" xfId="0" applyFill="1" applyBorder="1" applyAlignment="1">
      <alignment horizontal="center"/>
    </xf>
    <xf numFmtId="0" fontId="0" fillId="12" borderId="4" xfId="0" applyFill="1" applyBorder="1" applyAlignment="1">
      <alignment horizontal="center"/>
    </xf>
    <xf numFmtId="172" fontId="0" fillId="7" borderId="3" xfId="0" applyNumberFormat="1" applyFill="1" applyBorder="1"/>
    <xf numFmtId="172" fontId="0" fillId="3" borderId="0" xfId="0" applyNumberFormat="1" applyFill="1"/>
    <xf numFmtId="171" fontId="0" fillId="12" borderId="5" xfId="0" applyNumberFormat="1" applyFill="1" applyBorder="1"/>
    <xf numFmtId="171" fontId="0" fillId="12" borderId="7" xfId="0" applyNumberFormat="1" applyFill="1" applyBorder="1"/>
    <xf numFmtId="10" fontId="0" fillId="12" borderId="3" xfId="1" applyNumberFormat="1" applyFont="1" applyFill="1" applyBorder="1" applyAlignment="1">
      <alignment horizontal="center"/>
    </xf>
    <xf numFmtId="10" fontId="0" fillId="12" borderId="4" xfId="1" applyNumberFormat="1" applyFont="1" applyFill="1" applyBorder="1" applyAlignment="1">
      <alignment horizontal="center"/>
    </xf>
    <xf numFmtId="10" fontId="0" fillId="12" borderId="3" xfId="0" applyNumberFormat="1" applyFill="1" applyBorder="1" applyAlignment="1">
      <alignment horizontal="center"/>
    </xf>
    <xf numFmtId="0" fontId="6" fillId="12" borderId="0" xfId="0" applyFont="1" applyFill="1" applyAlignment="1">
      <alignment horizontal="center"/>
    </xf>
    <xf numFmtId="172" fontId="6" fillId="12" borderId="0" xfId="2" applyNumberFormat="1" applyFont="1" applyFill="1" applyAlignment="1">
      <alignment horizontal="center"/>
    </xf>
    <xf numFmtId="171" fontId="0" fillId="12" borderId="5" xfId="0" applyNumberFormat="1" applyFill="1" applyBorder="1" applyAlignment="1">
      <alignment horizontal="left"/>
    </xf>
    <xf numFmtId="164" fontId="0" fillId="12" borderId="0" xfId="0" applyNumberFormat="1" applyFill="1" applyAlignment="1">
      <alignment horizontal="left"/>
    </xf>
    <xf numFmtId="172" fontId="0" fillId="12" borderId="0" xfId="0" applyNumberFormat="1" applyFill="1" applyAlignment="1">
      <alignment horizontal="right"/>
    </xf>
    <xf numFmtId="172" fontId="0" fillId="12" borderId="7" xfId="0" applyNumberFormat="1" applyFill="1" applyBorder="1" applyAlignment="1">
      <alignment horizontal="right"/>
    </xf>
    <xf numFmtId="172" fontId="0" fillId="12" borderId="1" xfId="0" applyNumberFormat="1" applyFill="1" applyBorder="1"/>
    <xf numFmtId="171" fontId="0" fillId="0" borderId="3" xfId="0" applyNumberFormat="1" applyBorder="1" applyAlignment="1">
      <alignment horizontal="center"/>
    </xf>
    <xf numFmtId="171" fontId="0" fillId="0" borderId="4" xfId="0" applyNumberFormat="1" applyBorder="1" applyAlignment="1">
      <alignment horizontal="center"/>
    </xf>
    <xf numFmtId="171" fontId="0" fillId="5" borderId="0" xfId="0" applyNumberFormat="1" applyFill="1" applyAlignment="1">
      <alignment horizontal="center"/>
    </xf>
    <xf numFmtId="10" fontId="0" fillId="12" borderId="5" xfId="1" applyNumberFormat="1" applyFont="1" applyFill="1" applyBorder="1" applyAlignment="1">
      <alignment horizontal="center"/>
    </xf>
    <xf numFmtId="10" fontId="0" fillId="12" borderId="7" xfId="1" applyNumberFormat="1" applyFont="1" applyFill="1" applyBorder="1" applyAlignment="1">
      <alignment horizontal="center"/>
    </xf>
    <xf numFmtId="10" fontId="0" fillId="12" borderId="5" xfId="0" applyNumberFormat="1" applyFill="1" applyBorder="1" applyAlignment="1">
      <alignment horizontal="center"/>
    </xf>
    <xf numFmtId="171" fontId="0" fillId="12" borderId="5" xfId="0" applyNumberFormat="1" applyFill="1" applyBorder="1" applyAlignment="1">
      <alignment horizontal="center"/>
    </xf>
    <xf numFmtId="171" fontId="0" fillId="12" borderId="7" xfId="0" applyNumberFormat="1" applyFill="1" applyBorder="1" applyAlignment="1">
      <alignment horizontal="center"/>
    </xf>
    <xf numFmtId="171" fontId="0" fillId="4" borderId="0" xfId="0" applyNumberFormat="1" applyFill="1" applyAlignment="1">
      <alignment horizontal="center"/>
    </xf>
    <xf numFmtId="172" fontId="0" fillId="4" borderId="0" xfId="0" applyNumberFormat="1" applyFill="1" applyAlignment="1">
      <alignment horizontal="center"/>
    </xf>
    <xf numFmtId="171" fontId="0" fillId="0" borderId="0" xfId="0" applyNumberFormat="1" applyAlignment="1">
      <alignment horizontal="center"/>
    </xf>
    <xf numFmtId="171" fontId="0" fillId="0" borderId="1" xfId="0" applyNumberFormat="1" applyBorder="1" applyAlignment="1">
      <alignment horizontal="center"/>
    </xf>
    <xf numFmtId="172" fontId="0" fillId="0" borderId="0" xfId="0" applyNumberFormat="1" applyAlignment="1">
      <alignment horizontal="center"/>
    </xf>
    <xf numFmtId="172" fontId="0" fillId="12" borderId="0" xfId="0" applyNumberFormat="1" applyFill="1" applyAlignment="1">
      <alignment horizontal="center"/>
    </xf>
    <xf numFmtId="172" fontId="0" fillId="0" borderId="1" xfId="0" applyNumberFormat="1" applyBorder="1" applyAlignment="1">
      <alignment horizontal="center"/>
    </xf>
    <xf numFmtId="172" fontId="0" fillId="12" borderId="1" xfId="0" applyNumberFormat="1" applyFill="1" applyBorder="1" applyAlignment="1">
      <alignment horizontal="center"/>
    </xf>
    <xf numFmtId="169" fontId="11" fillId="8" borderId="0" xfId="0" applyNumberFormat="1" applyFont="1" applyFill="1" applyAlignment="1">
      <alignment horizontal="right"/>
    </xf>
    <xf numFmtId="0" fontId="0" fillId="8" borderId="0" xfId="0" applyFill="1" applyAlignment="1">
      <alignment horizontal="left"/>
    </xf>
    <xf numFmtId="169" fontId="0" fillId="8" borderId="0" xfId="0" applyNumberFormat="1" applyFill="1"/>
    <xf numFmtId="169" fontId="0" fillId="8" borderId="0" xfId="0" applyNumberFormat="1" applyFill="1" applyAlignment="1">
      <alignment horizontal="right"/>
    </xf>
    <xf numFmtId="0" fontId="18" fillId="9" borderId="0" xfId="0" applyFont="1" applyFill="1"/>
    <xf numFmtId="164" fontId="17" fillId="8" borderId="3" xfId="0" applyNumberFormat="1" applyFont="1" applyFill="1" applyBorder="1" applyAlignment="1">
      <alignment vertical="center"/>
    </xf>
    <xf numFmtId="164" fontId="17" fillId="9" borderId="0" xfId="0" applyNumberFormat="1" applyFont="1" applyFill="1" applyAlignment="1">
      <alignment vertical="center"/>
    </xf>
    <xf numFmtId="172" fontId="0" fillId="0" borderId="4" xfId="0" applyNumberFormat="1" applyBorder="1" applyAlignment="1">
      <alignment horizontal="right"/>
    </xf>
    <xf numFmtId="171" fontId="0" fillId="12" borderId="3" xfId="0" applyNumberFormat="1" applyFill="1" applyBorder="1" applyAlignment="1">
      <alignment horizontal="center"/>
    </xf>
    <xf numFmtId="0" fontId="18" fillId="10" borderId="0" xfId="0" applyFont="1" applyFill="1"/>
    <xf numFmtId="0" fontId="6" fillId="10" borderId="0" xfId="0" applyFont="1" applyFill="1"/>
    <xf numFmtId="0" fontId="19" fillId="10" borderId="0" xfId="0" applyFont="1" applyFill="1"/>
    <xf numFmtId="0" fontId="0" fillId="10" borderId="0" xfId="0" applyFill="1" applyAlignment="1">
      <alignment horizontal="center"/>
    </xf>
    <xf numFmtId="164" fontId="0" fillId="10" borderId="0" xfId="0" applyNumberFormat="1" applyFill="1" applyAlignment="1">
      <alignment horizontal="center"/>
    </xf>
    <xf numFmtId="0" fontId="14" fillId="10" borderId="0" xfId="0" applyFont="1" applyFill="1" applyAlignment="1">
      <alignment horizontal="right"/>
    </xf>
    <xf numFmtId="9" fontId="0" fillId="10" borderId="0" xfId="0" applyNumberFormat="1" applyFill="1" applyAlignment="1">
      <alignment horizontal="center"/>
    </xf>
    <xf numFmtId="9" fontId="12" fillId="10" borderId="0" xfId="0" applyNumberFormat="1" applyFont="1" applyFill="1" applyAlignment="1">
      <alignment horizontal="center"/>
    </xf>
    <xf numFmtId="2" fontId="0" fillId="10" borderId="0" xfId="0" applyNumberFormat="1" applyFill="1"/>
    <xf numFmtId="164" fontId="0" fillId="8" borderId="5" xfId="0" applyNumberFormat="1" applyFill="1" applyBorder="1"/>
    <xf numFmtId="164" fontId="0" fillId="8" borderId="9" xfId="0" applyNumberFormat="1" applyFill="1" applyBorder="1"/>
    <xf numFmtId="164" fontId="0" fillId="8" borderId="8" xfId="0" applyNumberFormat="1" applyFill="1" applyBorder="1"/>
    <xf numFmtId="6" fontId="0" fillId="10" borderId="0" xfId="0" applyNumberFormat="1" applyFill="1" applyAlignment="1">
      <alignment horizontal="left"/>
    </xf>
    <xf numFmtId="0" fontId="2" fillId="8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2" fillId="8" borderId="0" xfId="0" applyFont="1" applyFill="1"/>
    <xf numFmtId="165" fontId="0" fillId="2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11" borderId="0" xfId="0" applyNumberFormat="1" applyFill="1" applyAlignment="1">
      <alignment horizontal="center" vertical="center"/>
    </xf>
    <xf numFmtId="0" fontId="2" fillId="6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6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6" borderId="6" xfId="0" applyNumberFormat="1" applyFill="1" applyBorder="1" applyAlignment="1">
      <alignment horizontal="center" vertical="center"/>
    </xf>
    <xf numFmtId="0" fontId="3" fillId="7" borderId="0" xfId="0" applyFont="1" applyFill="1" applyAlignment="1">
      <alignment horizontal="center"/>
    </xf>
    <xf numFmtId="0" fontId="2" fillId="2" borderId="0" xfId="0" applyFont="1" applyFill="1"/>
    <xf numFmtId="164" fontId="2" fillId="2" borderId="0" xfId="0" applyNumberFormat="1" applyFont="1" applyFill="1"/>
    <xf numFmtId="0" fontId="2" fillId="2" borderId="0" xfId="0" applyFont="1" applyFill="1" applyAlignment="1">
      <alignment horizontal="right"/>
    </xf>
    <xf numFmtId="0" fontId="5" fillId="9" borderId="0" xfId="0" applyFont="1" applyFill="1" applyAlignment="1">
      <alignment horizontal="center"/>
    </xf>
    <xf numFmtId="0" fontId="5" fillId="10" borderId="0" xfId="0" applyFont="1" applyFill="1" applyAlignment="1">
      <alignment horizontal="center"/>
    </xf>
    <xf numFmtId="0" fontId="0" fillId="13" borderId="0" xfId="0" applyFont="1" applyFill="1" applyAlignment="1">
      <alignment horizontal="center"/>
    </xf>
    <xf numFmtId="0" fontId="2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164" fontId="2" fillId="2" borderId="0" xfId="0" applyNumberFormat="1" applyFont="1" applyFill="1" applyAlignment="1">
      <alignment horizontal="right"/>
    </xf>
    <xf numFmtId="164" fontId="2" fillId="2" borderId="3" xfId="0" applyNumberFormat="1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164" fontId="2" fillId="2" borderId="6" xfId="0" applyNumberFormat="1" applyFont="1" applyFill="1" applyBorder="1" applyAlignment="1">
      <alignment horizontal="right"/>
    </xf>
    <xf numFmtId="164" fontId="2" fillId="2" borderId="3" xfId="0" applyNumberFormat="1" applyFont="1" applyFill="1" applyBorder="1"/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87"/>
  <sheetViews>
    <sheetView tabSelected="1" zoomScaleNormal="100" workbookViewId="0"/>
  </sheetViews>
  <sheetFormatPr defaultRowHeight="15" x14ac:dyDescent="0.25"/>
  <cols>
    <col min="3" max="3" width="10.28515625" customWidth="1"/>
    <col min="4" max="4" width="24.140625" bestFit="1" customWidth="1"/>
    <col min="5" max="5" width="11.28515625" customWidth="1"/>
    <col min="6" max="6" width="12.140625" customWidth="1"/>
    <col min="7" max="7" width="11.28515625" customWidth="1"/>
    <col min="8" max="8" width="10.85546875" bestFit="1" customWidth="1"/>
    <col min="9" max="9" width="12.140625" customWidth="1"/>
    <col min="11" max="11" width="10.42578125" bestFit="1" customWidth="1"/>
    <col min="12" max="12" width="10.85546875" bestFit="1" customWidth="1"/>
    <col min="13" max="13" width="10.42578125" bestFit="1" customWidth="1"/>
    <col min="14" max="15" width="10.85546875" bestFit="1" customWidth="1"/>
    <col min="18" max="18" width="10.140625" bestFit="1" customWidth="1"/>
  </cols>
  <sheetData>
    <row r="2" spans="2:10" ht="18.75" x14ac:dyDescent="0.3">
      <c r="B2" s="38" t="s">
        <v>92</v>
      </c>
    </row>
    <row r="4" spans="2:10" s="25" customFormat="1" x14ac:dyDescent="0.25">
      <c r="C4" s="26" t="s">
        <v>145</v>
      </c>
    </row>
    <row r="5" spans="2:10" s="25" customFormat="1" x14ac:dyDescent="0.25"/>
    <row r="6" spans="2:10" s="25" customFormat="1" x14ac:dyDescent="0.25">
      <c r="D6" s="89" t="s">
        <v>32</v>
      </c>
      <c r="E6" s="294" t="s">
        <v>33</v>
      </c>
      <c r="F6" s="294"/>
      <c r="G6" s="294" t="s">
        <v>34</v>
      </c>
      <c r="H6" s="294"/>
      <c r="I6" s="296"/>
    </row>
    <row r="7" spans="2:10" s="25" customFormat="1" x14ac:dyDescent="0.25">
      <c r="D7" s="90"/>
      <c r="E7" s="89" t="s">
        <v>35</v>
      </c>
      <c r="F7" s="89" t="s">
        <v>36</v>
      </c>
      <c r="G7" s="89" t="s">
        <v>73</v>
      </c>
      <c r="H7" s="89"/>
      <c r="I7" s="89" t="s">
        <v>25</v>
      </c>
    </row>
    <row r="8" spans="2:10" s="25" customFormat="1" x14ac:dyDescent="0.25">
      <c r="D8" s="79" t="s">
        <v>27</v>
      </c>
      <c r="E8" s="128">
        <v>6</v>
      </c>
      <c r="F8" s="128">
        <v>8</v>
      </c>
      <c r="G8" s="129">
        <f>561700/8/6</f>
        <v>11702.083333333334</v>
      </c>
      <c r="H8" s="61" t="s">
        <v>52</v>
      </c>
      <c r="I8" s="129">
        <f>F8*E8*G8</f>
        <v>561700</v>
      </c>
      <c r="J8" s="75"/>
    </row>
    <row r="9" spans="2:10" s="25" customFormat="1" x14ac:dyDescent="0.25">
      <c r="D9" s="79" t="s">
        <v>28</v>
      </c>
      <c r="E9" s="128">
        <v>12</v>
      </c>
      <c r="F9" s="128">
        <v>4</v>
      </c>
      <c r="G9" s="129">
        <f>561700/8/6</f>
        <v>11702.083333333334</v>
      </c>
      <c r="H9" s="61" t="s">
        <v>52</v>
      </c>
      <c r="I9" s="129">
        <f t="shared" ref="I9" si="0">F9*E9*G9</f>
        <v>561700</v>
      </c>
      <c r="J9" s="75"/>
    </row>
    <row r="10" spans="2:10" s="25" customFormat="1" x14ac:dyDescent="0.25">
      <c r="D10" s="79" t="s">
        <v>29</v>
      </c>
      <c r="E10" s="128">
        <v>12</v>
      </c>
      <c r="F10" s="128">
        <v>3</v>
      </c>
      <c r="G10" s="129">
        <v>44000</v>
      </c>
      <c r="H10" s="61" t="s">
        <v>52</v>
      </c>
      <c r="I10" s="129">
        <f>PRODUCT(E10:G10)</f>
        <v>1584000</v>
      </c>
    </row>
    <row r="11" spans="2:10" s="25" customFormat="1" x14ac:dyDescent="0.25">
      <c r="D11" s="79" t="s">
        <v>30</v>
      </c>
      <c r="E11" s="128">
        <v>6</v>
      </c>
      <c r="F11" s="128">
        <v>1</v>
      </c>
      <c r="G11" s="129">
        <v>11700</v>
      </c>
      <c r="H11" s="61" t="s">
        <v>52</v>
      </c>
      <c r="I11" s="129">
        <f>PRODUCT(E11:G11)</f>
        <v>70200</v>
      </c>
    </row>
    <row r="12" spans="2:10" s="25" customFormat="1" x14ac:dyDescent="0.25">
      <c r="D12" s="79"/>
      <c r="E12" s="128"/>
      <c r="F12" s="128"/>
      <c r="G12" s="130"/>
      <c r="H12" s="61"/>
      <c r="I12" s="130"/>
    </row>
    <row r="13" spans="2:10" s="25" customFormat="1" x14ac:dyDescent="0.25">
      <c r="D13" s="79" t="s">
        <v>31</v>
      </c>
      <c r="E13" s="128"/>
      <c r="F13" s="128"/>
      <c r="G13" s="129">
        <v>1500000</v>
      </c>
      <c r="H13" s="61"/>
      <c r="I13" s="129">
        <v>1500000</v>
      </c>
    </row>
    <row r="14" spans="2:10" s="25" customFormat="1" x14ac:dyDescent="0.25">
      <c r="D14" s="79"/>
      <c r="E14" s="128"/>
      <c r="F14" s="128"/>
      <c r="G14" s="130"/>
      <c r="H14" s="61"/>
      <c r="I14" s="130"/>
    </row>
    <row r="15" spans="2:10" s="25" customFormat="1" x14ac:dyDescent="0.25">
      <c r="D15" s="79" t="s">
        <v>76</v>
      </c>
      <c r="E15" s="128">
        <v>12</v>
      </c>
      <c r="F15" s="128">
        <f>SUMPRODUCT(E8:E11,F8:F11)/E15</f>
        <v>11.5</v>
      </c>
      <c r="G15" s="128"/>
      <c r="H15" s="61"/>
      <c r="I15" s="128"/>
    </row>
    <row r="16" spans="2:10" s="25" customFormat="1" x14ac:dyDescent="0.25">
      <c r="D16" s="79"/>
      <c r="E16" s="61"/>
      <c r="F16" s="61"/>
      <c r="G16" s="61"/>
      <c r="H16" s="61"/>
      <c r="I16" s="78"/>
    </row>
    <row r="17" spans="3:14" s="25" customFormat="1" x14ac:dyDescent="0.25">
      <c r="D17" s="79" t="s">
        <v>75</v>
      </c>
      <c r="E17" s="61"/>
      <c r="F17" s="61"/>
      <c r="G17" s="275">
        <f>I17/F15</f>
        <v>371965.21739130432</v>
      </c>
      <c r="H17" s="25" t="s">
        <v>139</v>
      </c>
      <c r="I17" s="80">
        <f>SUM(I8:I13)</f>
        <v>4277600</v>
      </c>
    </row>
    <row r="18" spans="3:14" s="63" customFormat="1" x14ac:dyDescent="0.25">
      <c r="D18" s="92"/>
      <c r="E18" s="61"/>
      <c r="F18" s="61"/>
      <c r="G18" s="274">
        <f>I17/E15</f>
        <v>356466.66666666669</v>
      </c>
      <c r="H18" s="63" t="s">
        <v>144</v>
      </c>
    </row>
    <row r="19" spans="3:14" s="25" customFormat="1" x14ac:dyDescent="0.25">
      <c r="D19" s="79"/>
      <c r="E19" s="61"/>
      <c r="F19" s="61"/>
      <c r="G19" s="272">
        <f>I17/PRODUCT(E15:F15)</f>
        <v>30997.101449275364</v>
      </c>
      <c r="H19" s="273" t="s">
        <v>143</v>
      </c>
      <c r="I19" s="79"/>
    </row>
    <row r="20" spans="3:14" s="25" customFormat="1" x14ac:dyDescent="0.25">
      <c r="D20" s="79" t="str">
        <f>"Sensitivity (plus "&amp;(E20-1)*100&amp;"%)"</f>
        <v>Sensitivity (plus 50%)</v>
      </c>
      <c r="E20" s="61">
        <v>1.5</v>
      </c>
      <c r="F20" s="61"/>
      <c r="G20" s="77"/>
      <c r="H20" s="61"/>
      <c r="I20" s="81">
        <f>E20*I17</f>
        <v>6416400</v>
      </c>
    </row>
    <row r="21" spans="3:14" s="25" customFormat="1" x14ac:dyDescent="0.25">
      <c r="D21" s="79" t="str">
        <f>"Sensitivity (minus "&amp;(E21)*100&amp;"%)"</f>
        <v>Sensitivity (minus 50%)</v>
      </c>
      <c r="E21" s="61">
        <v>0.5</v>
      </c>
      <c r="F21" s="61"/>
      <c r="G21" s="77"/>
      <c r="H21" s="61"/>
      <c r="I21" s="81">
        <f>E21*I17</f>
        <v>2138800</v>
      </c>
    </row>
    <row r="24" spans="3:14" s="29" customFormat="1" x14ac:dyDescent="0.25">
      <c r="C24" s="276" t="s">
        <v>149</v>
      </c>
    </row>
    <row r="25" spans="3:14" s="29" customFormat="1" x14ac:dyDescent="0.25"/>
    <row r="26" spans="3:14" s="29" customFormat="1" x14ac:dyDescent="0.25">
      <c r="D26" s="86" t="s">
        <v>32</v>
      </c>
      <c r="E26" s="295" t="s">
        <v>33</v>
      </c>
      <c r="F26" s="295"/>
      <c r="G26" s="295" t="s">
        <v>34</v>
      </c>
      <c r="H26" s="295"/>
      <c r="I26" s="87"/>
      <c r="J26" s="87"/>
      <c r="K26" s="87"/>
    </row>
    <row r="27" spans="3:14" s="29" customFormat="1" x14ac:dyDescent="0.25">
      <c r="C27" s="64">
        <v>200000</v>
      </c>
      <c r="D27" s="91">
        <f>($I$17-$C$27)/$I$17</f>
        <v>0.95324481017392926</v>
      </c>
      <c r="E27" s="86" t="s">
        <v>35</v>
      </c>
      <c r="F27" s="86" t="s">
        <v>36</v>
      </c>
      <c r="G27" s="86" t="s">
        <v>73</v>
      </c>
      <c r="H27" s="86"/>
      <c r="I27" s="86" t="s">
        <v>25</v>
      </c>
      <c r="J27" s="86"/>
      <c r="K27" s="88" t="s">
        <v>64</v>
      </c>
    </row>
    <row r="28" spans="3:14" s="29" customFormat="1" x14ac:dyDescent="0.25">
      <c r="D28" s="83" t="s">
        <v>27</v>
      </c>
      <c r="E28" s="132">
        <f>E8*$D$27</f>
        <v>5.7194688610435751</v>
      </c>
      <c r="F28" s="128">
        <v>8</v>
      </c>
      <c r="G28" s="129">
        <f>561700/8/6</f>
        <v>11702.083333333334</v>
      </c>
      <c r="H28" s="61" t="s">
        <v>52</v>
      </c>
      <c r="I28" s="129">
        <f>F28*E28*G28</f>
        <v>535437.60987469601</v>
      </c>
      <c r="J28" s="62"/>
      <c r="K28" s="84">
        <f>I8-I28</f>
        <v>26262.390125303995</v>
      </c>
      <c r="N28" s="30"/>
    </row>
    <row r="29" spans="3:14" s="29" customFormat="1" x14ac:dyDescent="0.25">
      <c r="D29" s="83" t="s">
        <v>28</v>
      </c>
      <c r="E29" s="132">
        <f>E9*$D$27</f>
        <v>11.43893772208715</v>
      </c>
      <c r="F29" s="128">
        <v>4</v>
      </c>
      <c r="G29" s="129">
        <f>561700/8/6</f>
        <v>11702.083333333334</v>
      </c>
      <c r="H29" s="61" t="s">
        <v>52</v>
      </c>
      <c r="I29" s="129">
        <f t="shared" ref="I29:I31" si="1">F29*E29*G29</f>
        <v>535437.60987469601</v>
      </c>
      <c r="J29" s="62"/>
      <c r="K29" s="84">
        <f>I9-I29</f>
        <v>26262.390125303995</v>
      </c>
      <c r="N29" s="30"/>
    </row>
    <row r="30" spans="3:14" s="29" customFormat="1" x14ac:dyDescent="0.25">
      <c r="D30" s="83" t="s">
        <v>29</v>
      </c>
      <c r="E30" s="132">
        <f>E10*$D$27</f>
        <v>11.43893772208715</v>
      </c>
      <c r="F30" s="128">
        <v>3</v>
      </c>
      <c r="G30" s="129">
        <v>44000</v>
      </c>
      <c r="H30" s="61" t="s">
        <v>52</v>
      </c>
      <c r="I30" s="129">
        <f t="shared" si="1"/>
        <v>1509939.779315504</v>
      </c>
      <c r="J30" s="62"/>
      <c r="K30" s="84">
        <f>I10-I30</f>
        <v>74060.220684495987</v>
      </c>
      <c r="N30" s="30"/>
    </row>
    <row r="31" spans="3:14" s="29" customFormat="1" x14ac:dyDescent="0.25">
      <c r="D31" s="83" t="s">
        <v>30</v>
      </c>
      <c r="E31" s="132">
        <f>E11*$D$27</f>
        <v>5.7194688610435751</v>
      </c>
      <c r="F31" s="128">
        <v>1</v>
      </c>
      <c r="G31" s="129">
        <v>11700</v>
      </c>
      <c r="H31" s="61" t="s">
        <v>52</v>
      </c>
      <c r="I31" s="129">
        <f t="shared" si="1"/>
        <v>66917.785674209823</v>
      </c>
      <c r="J31" s="62"/>
      <c r="K31" s="84">
        <f>I11-I31</f>
        <v>3282.2143257901771</v>
      </c>
      <c r="N31" s="30"/>
    </row>
    <row r="32" spans="3:14" s="29" customFormat="1" x14ac:dyDescent="0.25">
      <c r="D32" s="83"/>
      <c r="E32" s="132"/>
      <c r="F32" s="128"/>
      <c r="G32" s="129"/>
      <c r="H32" s="61"/>
      <c r="I32" s="130"/>
      <c r="J32" s="62"/>
      <c r="K32" s="85"/>
      <c r="N32" s="30"/>
    </row>
    <row r="33" spans="3:14" s="29" customFormat="1" x14ac:dyDescent="0.25">
      <c r="D33" s="83" t="s">
        <v>31</v>
      </c>
      <c r="E33" s="128"/>
      <c r="F33" s="128"/>
      <c r="G33" s="129">
        <v>1500000</v>
      </c>
      <c r="H33" s="61"/>
      <c r="I33" s="129">
        <f>$D$27*G33</f>
        <v>1429867.2152608938</v>
      </c>
      <c r="J33" s="62"/>
      <c r="K33" s="84">
        <f>I13-I33</f>
        <v>70132.784739106195</v>
      </c>
      <c r="N33" s="65"/>
    </row>
    <row r="34" spans="3:14" s="29" customFormat="1" x14ac:dyDescent="0.25">
      <c r="D34" s="83"/>
      <c r="E34" s="128"/>
      <c r="F34" s="128"/>
      <c r="G34" s="129"/>
      <c r="H34" s="61"/>
      <c r="I34" s="130"/>
      <c r="J34" s="62"/>
      <c r="K34" s="85"/>
    </row>
    <row r="35" spans="3:14" s="29" customFormat="1" x14ac:dyDescent="0.25">
      <c r="D35" s="83" t="s">
        <v>77</v>
      </c>
      <c r="E35" s="128">
        <v>8</v>
      </c>
      <c r="F35" s="131">
        <f>SUMPRODUCT(E$28:E$31,F$28:F$31)/E35</f>
        <v>16.443472975500278</v>
      </c>
      <c r="G35" s="129"/>
      <c r="H35" s="61"/>
      <c r="I35" s="128"/>
      <c r="J35" s="62"/>
      <c r="K35" s="85"/>
    </row>
    <row r="36" spans="3:14" s="29" customFormat="1" x14ac:dyDescent="0.25">
      <c r="D36" s="83" t="s">
        <v>76</v>
      </c>
      <c r="E36" s="128">
        <v>12</v>
      </c>
      <c r="F36" s="131">
        <f t="shared" ref="F36:F37" si="2">SUMPRODUCT(E$28:E$31,F$28:F$31)/E36</f>
        <v>10.962315317000185</v>
      </c>
      <c r="G36" s="129"/>
      <c r="H36" s="61"/>
      <c r="I36" s="129"/>
      <c r="J36" s="62"/>
      <c r="K36" s="85"/>
    </row>
    <row r="37" spans="3:14" s="29" customFormat="1" x14ac:dyDescent="0.25">
      <c r="D37" s="83" t="s">
        <v>79</v>
      </c>
      <c r="E37" s="128">
        <v>18</v>
      </c>
      <c r="F37" s="131">
        <f t="shared" si="2"/>
        <v>7.3082102113334564</v>
      </c>
      <c r="G37" s="129"/>
      <c r="H37" s="61"/>
      <c r="I37" s="129"/>
      <c r="J37" s="62"/>
      <c r="K37" s="85"/>
    </row>
    <row r="38" spans="3:14" s="29" customFormat="1" x14ac:dyDescent="0.25">
      <c r="D38" s="83"/>
      <c r="E38" s="62"/>
      <c r="F38" s="62"/>
      <c r="G38" s="83"/>
      <c r="H38" s="62"/>
      <c r="I38" s="83"/>
      <c r="J38" s="62"/>
      <c r="K38" s="85"/>
    </row>
    <row r="39" spans="3:14" s="29" customFormat="1" x14ac:dyDescent="0.25">
      <c r="D39" s="308" t="s">
        <v>168</v>
      </c>
      <c r="E39" s="62"/>
      <c r="F39" s="62"/>
      <c r="G39" s="83"/>
      <c r="H39" s="62"/>
      <c r="I39" s="314">
        <f>SUM(I28:I34)</f>
        <v>4077600</v>
      </c>
      <c r="J39" s="62"/>
      <c r="K39" s="84">
        <f>I17-I39</f>
        <v>200000</v>
      </c>
    </row>
    <row r="40" spans="3:14" s="29" customFormat="1" x14ac:dyDescent="0.25">
      <c r="D40" s="62"/>
      <c r="E40" s="62"/>
      <c r="F40" s="62"/>
      <c r="G40" s="82"/>
      <c r="H40" s="62"/>
      <c r="I40" s="83"/>
      <c r="J40" s="62"/>
      <c r="K40" s="85"/>
    </row>
    <row r="41" spans="3:14" s="29" customFormat="1" x14ac:dyDescent="0.25">
      <c r="D41" s="79" t="str">
        <f>"Sensitivity (plus "&amp;(E41-1)*100&amp;"%)"</f>
        <v>Sensitivity (plus 50%)</v>
      </c>
      <c r="E41" s="62">
        <f>E20</f>
        <v>1.5</v>
      </c>
      <c r="F41" s="62"/>
      <c r="G41" s="76"/>
      <c r="H41" s="62"/>
      <c r="I41" s="81">
        <f>E41*I39</f>
        <v>6116400</v>
      </c>
      <c r="J41" s="62"/>
      <c r="K41" s="85"/>
    </row>
    <row r="42" spans="3:14" s="29" customFormat="1" x14ac:dyDescent="0.25">
      <c r="D42" s="79" t="str">
        <f>"Sensitivity (minus "&amp;(E42)*100&amp;"%)"</f>
        <v>Sensitivity (minus 50%)</v>
      </c>
      <c r="E42" s="62">
        <f>E21</f>
        <v>0.5</v>
      </c>
      <c r="F42" s="62"/>
      <c r="G42" s="76"/>
      <c r="H42" s="62"/>
      <c r="I42" s="81">
        <f>E42*I39</f>
        <v>2038800</v>
      </c>
      <c r="J42" s="62"/>
      <c r="K42" s="85"/>
    </row>
    <row r="43" spans="3:14" x14ac:dyDescent="0.25">
      <c r="I43" s="24"/>
      <c r="L43" s="24"/>
    </row>
    <row r="44" spans="3:14" x14ac:dyDescent="0.25">
      <c r="I44" s="24"/>
      <c r="L44" s="24"/>
    </row>
    <row r="45" spans="3:14" s="32" customFormat="1" x14ac:dyDescent="0.25">
      <c r="C45" s="281" t="s">
        <v>146</v>
      </c>
      <c r="I45" s="52"/>
      <c r="L45" s="52"/>
    </row>
    <row r="46" spans="3:14" s="32" customFormat="1" x14ac:dyDescent="0.25">
      <c r="I46" s="52"/>
      <c r="L46" s="52"/>
    </row>
    <row r="47" spans="3:14" s="32" customFormat="1" x14ac:dyDescent="0.25">
      <c r="D47" s="129">
        <v>2800000</v>
      </c>
      <c r="E47" s="282" t="s">
        <v>147</v>
      </c>
      <c r="I47" s="52"/>
      <c r="L47" s="52"/>
    </row>
    <row r="48" spans="3:14" s="32" customFormat="1" x14ac:dyDescent="0.25">
      <c r="D48" s="129"/>
      <c r="I48" s="52"/>
      <c r="L48" s="52"/>
    </row>
    <row r="49" spans="1:16" s="32" customFormat="1" x14ac:dyDescent="0.25">
      <c r="D49" s="129">
        <v>2600000</v>
      </c>
      <c r="E49" s="283" t="s">
        <v>148</v>
      </c>
      <c r="I49" s="52"/>
      <c r="L49" s="52"/>
    </row>
    <row r="50" spans="1:16" s="32" customFormat="1" x14ac:dyDescent="0.25">
      <c r="I50" s="52"/>
      <c r="L50" s="52"/>
    </row>
    <row r="51" spans="1:16" s="32" customFormat="1" x14ac:dyDescent="0.25">
      <c r="A51" s="2"/>
      <c r="B51" s="2"/>
      <c r="C51" s="308" t="s">
        <v>168</v>
      </c>
      <c r="D51" s="315">
        <f>D49-F51</f>
        <v>1950000</v>
      </c>
      <c r="E51" s="282" t="s">
        <v>156</v>
      </c>
      <c r="F51" s="285">
        <f>MROUND($N$60,5000)</f>
        <v>650000</v>
      </c>
      <c r="G51" s="32" t="s">
        <v>157</v>
      </c>
      <c r="I51" s="52"/>
      <c r="L51" s="52"/>
    </row>
    <row r="52" spans="1:16" s="32" customFormat="1" x14ac:dyDescent="0.25">
      <c r="H52" s="32" t="s">
        <v>158</v>
      </c>
      <c r="I52" s="52"/>
      <c r="L52" s="52"/>
    </row>
    <row r="53" spans="1:16" s="32" customFormat="1" x14ac:dyDescent="0.25">
      <c r="H53" s="32" t="s">
        <v>159</v>
      </c>
      <c r="I53" s="52"/>
      <c r="L53" s="52"/>
    </row>
    <row r="54" spans="1:16" s="32" customFormat="1" x14ac:dyDescent="0.25">
      <c r="I54" s="52" t="s">
        <v>160</v>
      </c>
      <c r="L54" s="52"/>
    </row>
    <row r="55" spans="1:16" s="32" customFormat="1" x14ac:dyDescent="0.25">
      <c r="I55" s="52"/>
      <c r="L55" s="52"/>
    </row>
    <row r="56" spans="1:16" s="32" customFormat="1" x14ac:dyDescent="0.25">
      <c r="I56" s="52"/>
      <c r="L56" s="52"/>
    </row>
    <row r="57" spans="1:16" s="32" customFormat="1" x14ac:dyDescent="0.25">
      <c r="H57" s="199" t="s">
        <v>152</v>
      </c>
      <c r="I57" s="52">
        <f>MROUND($P$60,5000)</f>
        <v>325000</v>
      </c>
      <c r="J57" s="284" t="s">
        <v>153</v>
      </c>
      <c r="K57" s="293">
        <f>MROUND($O$60,5000)</f>
        <v>975000</v>
      </c>
      <c r="L57" s="52"/>
      <c r="N57" s="284" t="s">
        <v>151</v>
      </c>
      <c r="O57" s="287">
        <v>0.5</v>
      </c>
      <c r="P57" s="288">
        <v>-0.5</v>
      </c>
    </row>
    <row r="58" spans="1:16" s="32" customFormat="1" x14ac:dyDescent="0.25">
      <c r="H58" s="199" t="s">
        <v>150</v>
      </c>
      <c r="I58" s="289">
        <f>$F$35/4/4</f>
        <v>1.0277170609687674</v>
      </c>
      <c r="J58" s="32" t="s">
        <v>154</v>
      </c>
      <c r="L58" s="52"/>
      <c r="N58" s="201">
        <f>I58*G30*8</f>
        <v>361756.4054610061</v>
      </c>
      <c r="O58" s="201">
        <f>N58*(100%+O$57)</f>
        <v>542634.60819150915</v>
      </c>
      <c r="P58" s="290">
        <f>N58*(100%+P$57)</f>
        <v>180878.20273050305</v>
      </c>
    </row>
    <row r="59" spans="1:16" s="32" customFormat="1" x14ac:dyDescent="0.25">
      <c r="I59" s="289">
        <f>$F$35/4/4*3</f>
        <v>3.0831511829063021</v>
      </c>
      <c r="J59" s="32" t="s">
        <v>155</v>
      </c>
      <c r="L59" s="52"/>
      <c r="N59" s="202">
        <f>I59*G31*8</f>
        <v>288582.95072002988</v>
      </c>
      <c r="O59" s="202">
        <f>N59*(100%+O$57)</f>
        <v>432874.42608004482</v>
      </c>
      <c r="P59" s="290">
        <f>N59*(100%+P$57)</f>
        <v>144291.47536001494</v>
      </c>
    </row>
    <row r="60" spans="1:16" s="32" customFormat="1" x14ac:dyDescent="0.25">
      <c r="I60" s="52"/>
      <c r="L60" s="52"/>
      <c r="N60" s="291">
        <f>SUM(N58:N59)</f>
        <v>650339.35618103598</v>
      </c>
      <c r="O60" s="291">
        <f t="shared" ref="O60:P60" si="3">SUM(O58:O59)</f>
        <v>975509.03427155397</v>
      </c>
      <c r="P60" s="292">
        <f t="shared" si="3"/>
        <v>325169.67809051799</v>
      </c>
    </row>
    <row r="61" spans="1:16" s="32" customFormat="1" x14ac:dyDescent="0.25">
      <c r="D61" s="79" t="str">
        <f>"Sensitivity (plus "&amp;(E61-1)*100&amp;"%)"</f>
        <v>Sensitivity (plus 50%)</v>
      </c>
      <c r="E61" s="284">
        <f>E20</f>
        <v>1.5</v>
      </c>
      <c r="F61" s="284"/>
      <c r="G61" s="285"/>
      <c r="H61" s="284"/>
      <c r="I61" s="81">
        <f>E61*D51</f>
        <v>2925000</v>
      </c>
      <c r="J61" s="284"/>
      <c r="K61" s="286"/>
      <c r="O61" s="52"/>
      <c r="P61" s="52"/>
    </row>
    <row r="62" spans="1:16" s="32" customFormat="1" x14ac:dyDescent="0.25">
      <c r="D62" s="79" t="str">
        <f>"Sensitivity (minus "&amp;(E62)*100&amp;"%)"</f>
        <v>Sensitivity (minus 50%)</v>
      </c>
      <c r="E62" s="284">
        <f>E21</f>
        <v>0.5</v>
      </c>
      <c r="F62" s="284"/>
      <c r="G62" s="285"/>
      <c r="H62" s="284"/>
      <c r="I62" s="81">
        <f>E62*D51</f>
        <v>975000</v>
      </c>
      <c r="J62" s="284"/>
      <c r="K62" s="286"/>
    </row>
    <row r="63" spans="1:16" x14ac:dyDescent="0.25">
      <c r="I63" s="24"/>
      <c r="L63" s="24"/>
    </row>
    <row r="64" spans="1:16" x14ac:dyDescent="0.25">
      <c r="I64" s="24"/>
      <c r="L64" s="24"/>
    </row>
    <row r="65" spans="3:9" s="7" customFormat="1" x14ac:dyDescent="0.25">
      <c r="C65" s="33" t="s">
        <v>90</v>
      </c>
      <c r="D65" s="93"/>
    </row>
    <row r="66" spans="3:9" s="7" customFormat="1" x14ac:dyDescent="0.25"/>
    <row r="67" spans="3:9" s="7" customFormat="1" x14ac:dyDescent="0.25">
      <c r="D67" s="133" t="s">
        <v>50</v>
      </c>
      <c r="E67" s="134"/>
      <c r="F67" s="134"/>
      <c r="G67" s="135">
        <v>3</v>
      </c>
      <c r="H67" s="135">
        <v>4</v>
      </c>
    </row>
    <row r="68" spans="3:9" s="7" customFormat="1" x14ac:dyDescent="0.25">
      <c r="D68" s="133" t="s">
        <v>91</v>
      </c>
      <c r="E68" s="134"/>
      <c r="F68" s="134"/>
      <c r="G68" s="136">
        <v>250000</v>
      </c>
      <c r="H68" s="136">
        <v>250000</v>
      </c>
      <c r="I68" s="7" t="s">
        <v>93</v>
      </c>
    </row>
    <row r="69" spans="3:9" s="7" customFormat="1" x14ac:dyDescent="0.25">
      <c r="D69" s="133" t="s">
        <v>94</v>
      </c>
      <c r="E69" s="134"/>
      <c r="F69" s="134"/>
      <c r="G69" s="135">
        <v>0.75</v>
      </c>
      <c r="H69" s="135">
        <v>0.75</v>
      </c>
    </row>
    <row r="70" spans="3:9" s="7" customFormat="1" x14ac:dyDescent="0.25">
      <c r="D70" s="316" t="s">
        <v>168</v>
      </c>
      <c r="E70" s="134"/>
      <c r="F70" s="134"/>
      <c r="G70" s="136">
        <f>PRODUCT(G67:G69)</f>
        <v>562500</v>
      </c>
      <c r="H70" s="317">
        <f>PRODUCT(H67:H69)</f>
        <v>750000</v>
      </c>
    </row>
    <row r="71" spans="3:9" s="7" customFormat="1" x14ac:dyDescent="0.25">
      <c r="G71" s="96"/>
      <c r="H71" s="96"/>
    </row>
    <row r="72" spans="3:9" s="7" customFormat="1" x14ac:dyDescent="0.25">
      <c r="D72" s="93" t="str">
        <f>"Sensitivity (plus "&amp;(E72-1)*100&amp;"%)"</f>
        <v>Sensitivity (plus 50%)</v>
      </c>
      <c r="E72" s="7">
        <f>E41</f>
        <v>1.5</v>
      </c>
      <c r="G72" s="96">
        <f>$E$72*G70</f>
        <v>843750</v>
      </c>
      <c r="H72" s="81">
        <f>$E$72*H70</f>
        <v>1125000</v>
      </c>
    </row>
    <row r="73" spans="3:9" s="7" customFormat="1" x14ac:dyDescent="0.25">
      <c r="D73" s="93" t="str">
        <f>"Sensitivity (minus "&amp;(E73)*100&amp;"%)"</f>
        <v>Sensitivity (minus 50%)</v>
      </c>
      <c r="E73" s="7">
        <f>E42</f>
        <v>0.5</v>
      </c>
      <c r="G73" s="96">
        <f>$E$73*G70</f>
        <v>281250</v>
      </c>
      <c r="H73" s="81">
        <f>$E$73*H70</f>
        <v>375000</v>
      </c>
    </row>
    <row r="74" spans="3:9" x14ac:dyDescent="0.25">
      <c r="G74" s="97"/>
      <c r="H74" s="97"/>
    </row>
    <row r="76" spans="3:9" s="34" customFormat="1" x14ac:dyDescent="0.25">
      <c r="C76" s="23" t="s">
        <v>80</v>
      </c>
    </row>
    <row r="77" spans="3:9" s="34" customFormat="1" x14ac:dyDescent="0.25"/>
    <row r="78" spans="3:9" s="34" customFormat="1" ht="60" x14ac:dyDescent="0.25">
      <c r="D78" s="94" t="s">
        <v>81</v>
      </c>
      <c r="E78" s="140" t="s">
        <v>82</v>
      </c>
      <c r="F78" s="140" t="s">
        <v>83</v>
      </c>
      <c r="G78" s="141" t="s">
        <v>140</v>
      </c>
    </row>
    <row r="79" spans="3:9" s="34" customFormat="1" x14ac:dyDescent="0.25">
      <c r="D79" s="94" t="s">
        <v>85</v>
      </c>
      <c r="E79" s="137">
        <v>125000</v>
      </c>
      <c r="F79" s="139">
        <v>2</v>
      </c>
      <c r="G79" s="137">
        <f t="shared" ref="G79:G82" si="4">PRODUCT(E79:F79)</f>
        <v>250000</v>
      </c>
    </row>
    <row r="80" spans="3:9" s="34" customFormat="1" x14ac:dyDescent="0.25">
      <c r="D80" s="94" t="s">
        <v>86</v>
      </c>
      <c r="E80" s="137">
        <v>70000</v>
      </c>
      <c r="F80" s="139">
        <v>10</v>
      </c>
      <c r="G80" s="137">
        <f t="shared" si="4"/>
        <v>700000</v>
      </c>
    </row>
    <row r="81" spans="4:7" s="34" customFormat="1" x14ac:dyDescent="0.25">
      <c r="D81" s="94" t="s">
        <v>87</v>
      </c>
      <c r="E81" s="137">
        <v>30000</v>
      </c>
      <c r="F81" s="139">
        <v>10</v>
      </c>
      <c r="G81" s="137">
        <f>PRODUCT(E81:F81)</f>
        <v>300000</v>
      </c>
    </row>
    <row r="82" spans="4:7" s="34" customFormat="1" x14ac:dyDescent="0.25">
      <c r="D82" s="94" t="s">
        <v>88</v>
      </c>
      <c r="E82" s="137">
        <v>2500</v>
      </c>
      <c r="F82" s="139">
        <v>100</v>
      </c>
      <c r="G82" s="137">
        <f t="shared" si="4"/>
        <v>250000</v>
      </c>
    </row>
    <row r="83" spans="4:7" s="34" customFormat="1" x14ac:dyDescent="0.25">
      <c r="D83" s="94" t="s">
        <v>89</v>
      </c>
      <c r="E83" s="137">
        <v>0</v>
      </c>
      <c r="F83" s="139">
        <v>178</v>
      </c>
      <c r="G83" s="137">
        <f>PRODUCT(E83:F83)</f>
        <v>0</v>
      </c>
    </row>
    <row r="84" spans="4:7" s="34" customFormat="1" x14ac:dyDescent="0.25">
      <c r="D84" s="308" t="s">
        <v>168</v>
      </c>
      <c r="E84" s="138"/>
      <c r="F84" s="139">
        <v>300</v>
      </c>
      <c r="G84" s="318">
        <f>SUM(G79:G83)</f>
        <v>1500000</v>
      </c>
    </row>
    <row r="85" spans="4:7" s="34" customFormat="1" x14ac:dyDescent="0.25">
      <c r="F85" s="95"/>
      <c r="G85" s="35"/>
    </row>
    <row r="86" spans="4:7" s="34" customFormat="1" x14ac:dyDescent="0.25">
      <c r="D86" s="34" t="str">
        <f>"Sensitivity (plus "&amp;(E86-1)*100&amp;"%)"</f>
        <v>Sensitivity (plus 50%)</v>
      </c>
      <c r="E86" s="95">
        <f>E72</f>
        <v>1.5</v>
      </c>
      <c r="G86" s="36">
        <f>E86*G84</f>
        <v>2250000</v>
      </c>
    </row>
    <row r="87" spans="4:7" s="34" customFormat="1" x14ac:dyDescent="0.25">
      <c r="D87" s="34" t="str">
        <f>"Sensitivity (minus "&amp;(E87)*100&amp;"%)"</f>
        <v>Sensitivity (minus 50%)</v>
      </c>
      <c r="E87" s="95">
        <f>E73</f>
        <v>0.5</v>
      </c>
      <c r="G87" s="36">
        <f>E87*G84</f>
        <v>750000</v>
      </c>
    </row>
  </sheetData>
  <mergeCells count="4">
    <mergeCell ref="E6:F6"/>
    <mergeCell ref="G26:H26"/>
    <mergeCell ref="E26:F26"/>
    <mergeCell ref="G6:I6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64"/>
  <sheetViews>
    <sheetView zoomScaleNormal="100" workbookViewId="0"/>
  </sheetViews>
  <sheetFormatPr defaultColWidth="8.7109375" defaultRowHeight="15" x14ac:dyDescent="0.25"/>
  <cols>
    <col min="1" max="1" width="8.7109375" style="100"/>
    <col min="2" max="2" width="21" style="100" customWidth="1"/>
    <col min="3" max="4" width="12.28515625" style="100" customWidth="1"/>
    <col min="5" max="5" width="11.140625" style="100" customWidth="1"/>
    <col min="6" max="6" width="13.5703125" style="100" customWidth="1"/>
    <col min="7" max="7" width="10.28515625" style="100" customWidth="1"/>
    <col min="8" max="9" width="11.28515625" style="100" customWidth="1"/>
    <col min="10" max="10" width="10.5703125" style="100" customWidth="1"/>
    <col min="11" max="11" width="11.140625" style="100" customWidth="1"/>
    <col min="12" max="13" width="11.28515625" style="100" customWidth="1"/>
    <col min="14" max="14" width="11.140625" style="100" customWidth="1"/>
    <col min="15" max="15" width="10.5703125" style="100" customWidth="1"/>
    <col min="16" max="16" width="12.42578125" style="100" bestFit="1" customWidth="1"/>
    <col min="17" max="17" width="11" style="100" customWidth="1"/>
    <col min="18" max="16384" width="8.7109375" style="100"/>
  </cols>
  <sheetData>
    <row r="2" spans="2:8" ht="18.75" x14ac:dyDescent="0.25">
      <c r="B2" s="99" t="s">
        <v>107</v>
      </c>
    </row>
    <row r="4" spans="2:8" s="101" customFormat="1" x14ac:dyDescent="0.25">
      <c r="C4" s="102" t="s">
        <v>109</v>
      </c>
    </row>
    <row r="5" spans="2:8" s="101" customFormat="1" x14ac:dyDescent="0.25"/>
    <row r="6" spans="2:8" s="101" customFormat="1" x14ac:dyDescent="0.25">
      <c r="B6" s="101" t="s">
        <v>53</v>
      </c>
      <c r="C6" s="101" t="s">
        <v>141</v>
      </c>
      <c r="E6" s="98">
        <v>16</v>
      </c>
      <c r="F6" s="101" t="s">
        <v>111</v>
      </c>
    </row>
    <row r="7" spans="2:8" s="101" customFormat="1" x14ac:dyDescent="0.25"/>
    <row r="8" spans="2:8" s="101" customFormat="1" ht="30" x14ac:dyDescent="0.25">
      <c r="C8" s="152" t="s">
        <v>41</v>
      </c>
      <c r="D8" s="152" t="s">
        <v>84</v>
      </c>
      <c r="E8" s="153" t="s">
        <v>47</v>
      </c>
      <c r="F8" s="152" t="s">
        <v>48</v>
      </c>
      <c r="G8" s="152" t="s">
        <v>50</v>
      </c>
    </row>
    <row r="9" spans="2:8" s="101" customFormat="1" x14ac:dyDescent="0.25">
      <c r="B9" s="114" t="s">
        <v>42</v>
      </c>
      <c r="C9" s="142">
        <v>3423</v>
      </c>
      <c r="D9" s="145">
        <v>6125000</v>
      </c>
      <c r="E9" s="147">
        <f>D9/C9</f>
        <v>1789.3660531697342</v>
      </c>
      <c r="F9" s="148">
        <f>D9/$D$15</f>
        <v>0.63399234033743923</v>
      </c>
      <c r="G9" s="150"/>
    </row>
    <row r="10" spans="2:8" s="101" customFormat="1" x14ac:dyDescent="0.25">
      <c r="B10" s="114" t="s">
        <v>43</v>
      </c>
      <c r="C10" s="143">
        <v>247</v>
      </c>
      <c r="D10" s="145">
        <v>494000</v>
      </c>
      <c r="E10" s="145">
        <f>D10/C10</f>
        <v>2000</v>
      </c>
      <c r="F10" s="148">
        <f>D10/$D$15</f>
        <v>5.1133423041093057E-2</v>
      </c>
      <c r="G10" s="150"/>
    </row>
    <row r="11" spans="2:8" s="101" customFormat="1" x14ac:dyDescent="0.25">
      <c r="B11" s="114" t="s">
        <v>44</v>
      </c>
      <c r="C11" s="143">
        <v>342</v>
      </c>
      <c r="D11" s="145">
        <v>685000</v>
      </c>
      <c r="E11" s="147">
        <f>D11/C11</f>
        <v>2002.9239766081871</v>
      </c>
      <c r="F11" s="148">
        <f>D11/$D$15</f>
        <v>7.0903633164268703E-2</v>
      </c>
      <c r="G11" s="150"/>
    </row>
    <row r="12" spans="2:8" s="101" customFormat="1" x14ac:dyDescent="0.25">
      <c r="B12" s="114" t="s">
        <v>45</v>
      </c>
      <c r="C12" s="143">
        <v>102</v>
      </c>
      <c r="D12" s="145">
        <v>173000</v>
      </c>
      <c r="E12" s="147">
        <f>D12/C12</f>
        <v>1696.0784313725489</v>
      </c>
      <c r="F12" s="148">
        <f t="shared" ref="F12:F14" si="0">D12/$D$15</f>
        <v>1.7907048959735015E-2</v>
      </c>
      <c r="G12" s="150"/>
    </row>
    <row r="13" spans="2:8" s="101" customFormat="1" ht="30" x14ac:dyDescent="0.25">
      <c r="B13" s="115" t="s">
        <v>49</v>
      </c>
      <c r="C13" s="143">
        <v>342</v>
      </c>
      <c r="D13" s="145">
        <v>684000</v>
      </c>
      <c r="E13" s="145">
        <f>D13/C13</f>
        <v>2000</v>
      </c>
      <c r="F13" s="148">
        <f t="shared" si="0"/>
        <v>7.0800124210744234E-2</v>
      </c>
      <c r="G13" s="150"/>
    </row>
    <row r="14" spans="2:8" s="101" customFormat="1" x14ac:dyDescent="0.25">
      <c r="B14" s="116" t="s">
        <v>46</v>
      </c>
      <c r="C14" s="144">
        <v>0</v>
      </c>
      <c r="D14" s="146">
        <v>1500000</v>
      </c>
      <c r="E14" s="146"/>
      <c r="F14" s="149">
        <f t="shared" si="0"/>
        <v>0.15526343028671979</v>
      </c>
      <c r="G14" s="151"/>
      <c r="H14" s="121" t="s">
        <v>51</v>
      </c>
    </row>
    <row r="15" spans="2:8" s="101" customFormat="1" x14ac:dyDescent="0.25">
      <c r="B15" s="114" t="s">
        <v>25</v>
      </c>
      <c r="C15" s="154">
        <f>SUM(C9:C14)</f>
        <v>4456</v>
      </c>
      <c r="D15" s="155">
        <f>SUM(D9:D14)</f>
        <v>9661000</v>
      </c>
      <c r="E15" s="277">
        <f>D15/C15</f>
        <v>2168.087971274686</v>
      </c>
      <c r="F15" s="156">
        <f>SUM(F9:F14)</f>
        <v>1</v>
      </c>
      <c r="G15" s="157">
        <v>15</v>
      </c>
      <c r="H15" s="122">
        <f>(D15-D14)/G15/E6</f>
        <v>34004.166666666664</v>
      </c>
    </row>
    <row r="16" spans="2:8" s="101" customFormat="1" x14ac:dyDescent="0.25">
      <c r="H16" s="121" t="s">
        <v>52</v>
      </c>
    </row>
    <row r="19" spans="2:8" s="103" customFormat="1" x14ac:dyDescent="0.25">
      <c r="C19" s="104" t="s">
        <v>78</v>
      </c>
    </row>
    <row r="20" spans="2:8" s="103" customFormat="1" x14ac:dyDescent="0.25"/>
    <row r="21" spans="2:8" s="103" customFormat="1" x14ac:dyDescent="0.25">
      <c r="C21" s="106"/>
      <c r="D21" s="117" t="s">
        <v>142</v>
      </c>
      <c r="E21" s="106">
        <v>16</v>
      </c>
      <c r="F21" s="106" t="s">
        <v>111</v>
      </c>
    </row>
    <row r="22" spans="2:8" s="103" customFormat="1" x14ac:dyDescent="0.25"/>
    <row r="23" spans="2:8" s="103" customFormat="1" ht="30" x14ac:dyDescent="0.25">
      <c r="B23" s="126">
        <f>2/3</f>
        <v>0.66666666666666663</v>
      </c>
      <c r="C23" s="167" t="s">
        <v>41</v>
      </c>
      <c r="D23" s="167" t="s">
        <v>84</v>
      </c>
      <c r="E23" s="168" t="s">
        <v>47</v>
      </c>
      <c r="F23" s="167" t="s">
        <v>48</v>
      </c>
      <c r="G23" s="167" t="s">
        <v>50</v>
      </c>
    </row>
    <row r="24" spans="2:8" s="103" customFormat="1" x14ac:dyDescent="0.25">
      <c r="B24" s="117" t="s">
        <v>42</v>
      </c>
      <c r="C24" s="158">
        <f>B23*C9</f>
        <v>2282</v>
      </c>
      <c r="D24" s="162">
        <f>B23*D9</f>
        <v>4083333.333333333</v>
      </c>
      <c r="E24" s="164">
        <f>D24/C24</f>
        <v>1789.366053169734</v>
      </c>
      <c r="F24" s="165">
        <f>D24/$D$30</f>
        <v>0.63399234033743923</v>
      </c>
    </row>
    <row r="25" spans="2:8" s="103" customFormat="1" x14ac:dyDescent="0.25">
      <c r="B25" s="117" t="s">
        <v>43</v>
      </c>
      <c r="C25" s="159">
        <f>B23*C10</f>
        <v>164.66666666666666</v>
      </c>
      <c r="D25" s="162">
        <f>B23*D10</f>
        <v>329333.33333333331</v>
      </c>
      <c r="E25" s="162">
        <f>D25/C25</f>
        <v>2000</v>
      </c>
      <c r="F25" s="165">
        <f t="shared" ref="F25:F29" si="1">D25/$D$30</f>
        <v>5.1133423041093057E-2</v>
      </c>
    </row>
    <row r="26" spans="2:8" s="103" customFormat="1" x14ac:dyDescent="0.25">
      <c r="B26" s="117" t="s">
        <v>44</v>
      </c>
      <c r="C26" s="160">
        <f>B23*C11</f>
        <v>228</v>
      </c>
      <c r="D26" s="162">
        <f>B23*D11</f>
        <v>456666.66666666663</v>
      </c>
      <c r="E26" s="164">
        <f>D26/C26</f>
        <v>2002.9239766081869</v>
      </c>
      <c r="F26" s="165">
        <f t="shared" si="1"/>
        <v>7.0903633164268703E-2</v>
      </c>
    </row>
    <row r="27" spans="2:8" s="103" customFormat="1" x14ac:dyDescent="0.25">
      <c r="B27" s="117" t="s">
        <v>45</v>
      </c>
      <c r="C27" s="160">
        <f>B23*C12</f>
        <v>68</v>
      </c>
      <c r="D27" s="162">
        <f>B23*D12</f>
        <v>115333.33333333333</v>
      </c>
      <c r="E27" s="164">
        <f>D27/C27</f>
        <v>1696.0784313725489</v>
      </c>
      <c r="F27" s="165">
        <f t="shared" si="1"/>
        <v>1.7907048959735019E-2</v>
      </c>
    </row>
    <row r="28" spans="2:8" s="103" customFormat="1" ht="30" x14ac:dyDescent="0.25">
      <c r="B28" s="118" t="s">
        <v>49</v>
      </c>
      <c r="C28" s="160">
        <f>B23*C13</f>
        <v>228</v>
      </c>
      <c r="D28" s="162">
        <f>B23*D13</f>
        <v>456000</v>
      </c>
      <c r="E28" s="162">
        <f>D28/C28</f>
        <v>2000</v>
      </c>
      <c r="F28" s="165">
        <f t="shared" si="1"/>
        <v>7.0800124210744234E-2</v>
      </c>
    </row>
    <row r="29" spans="2:8" s="103" customFormat="1" x14ac:dyDescent="0.25">
      <c r="B29" s="119" t="s">
        <v>46</v>
      </c>
      <c r="C29" s="161">
        <f>B23*C14</f>
        <v>0</v>
      </c>
      <c r="D29" s="163">
        <f>B23*D14</f>
        <v>1000000</v>
      </c>
      <c r="E29" s="163"/>
      <c r="F29" s="166">
        <f t="shared" si="1"/>
        <v>0.15526343028671982</v>
      </c>
      <c r="G29" s="108"/>
      <c r="H29" s="123" t="s">
        <v>51</v>
      </c>
    </row>
    <row r="30" spans="2:8" s="103" customFormat="1" x14ac:dyDescent="0.25">
      <c r="B30" s="312" t="s">
        <v>161</v>
      </c>
      <c r="C30" s="169">
        <f>SUM(C24:C29)</f>
        <v>2970.6666666666665</v>
      </c>
      <c r="D30" s="113">
        <f>SUM(D24:D29)</f>
        <v>6440666.666666666</v>
      </c>
      <c r="E30" s="278">
        <f>D30/C30</f>
        <v>2168.0879712746855</v>
      </c>
      <c r="F30" s="170">
        <f>SUM(F24:F29)</f>
        <v>1</v>
      </c>
      <c r="G30" s="104">
        <f>B23*G15</f>
        <v>10</v>
      </c>
      <c r="H30" s="124">
        <f>(D30-D29)/G30/E21</f>
        <v>34004.166666666664</v>
      </c>
    </row>
    <row r="31" spans="2:8" s="103" customFormat="1" x14ac:dyDescent="0.25">
      <c r="B31" s="117"/>
      <c r="C31" s="106"/>
      <c r="H31" s="123" t="s">
        <v>52</v>
      </c>
    </row>
    <row r="32" spans="2:8" s="103" customFormat="1" x14ac:dyDescent="0.25">
      <c r="B32" s="117" t="s">
        <v>95</v>
      </c>
      <c r="C32" s="106">
        <v>1.5</v>
      </c>
      <c r="D32" s="109">
        <f>C32*D30</f>
        <v>9661000</v>
      </c>
      <c r="G32" s="107"/>
    </row>
    <row r="33" spans="2:8" s="103" customFormat="1" x14ac:dyDescent="0.25">
      <c r="B33" s="117" t="s">
        <v>96</v>
      </c>
      <c r="C33" s="106">
        <v>0.5</v>
      </c>
      <c r="D33" s="109">
        <f>C33*D30</f>
        <v>3220333.333333333</v>
      </c>
      <c r="G33" s="107"/>
    </row>
    <row r="36" spans="2:8" s="103" customFormat="1" x14ac:dyDescent="0.25">
      <c r="C36" s="104" t="s">
        <v>137</v>
      </c>
    </row>
    <row r="37" spans="2:8" s="103" customFormat="1" x14ac:dyDescent="0.25"/>
    <row r="38" spans="2:8" s="103" customFormat="1" x14ac:dyDescent="0.25">
      <c r="B38" s="103" t="s">
        <v>53</v>
      </c>
      <c r="C38" s="106" t="s">
        <v>110</v>
      </c>
      <c r="D38" s="106"/>
      <c r="E38" s="106">
        <v>9</v>
      </c>
      <c r="F38" s="106" t="s">
        <v>111</v>
      </c>
      <c r="G38" s="106"/>
    </row>
    <row r="39" spans="2:8" s="103" customFormat="1" x14ac:dyDescent="0.25">
      <c r="C39" s="106"/>
      <c r="D39" s="106"/>
      <c r="E39" s="106"/>
      <c r="F39" s="106"/>
      <c r="G39" s="106"/>
    </row>
    <row r="40" spans="2:8" s="103" customFormat="1" ht="30" x14ac:dyDescent="0.25">
      <c r="B40" s="105">
        <f>1/3</f>
        <v>0.33333333333333331</v>
      </c>
      <c r="C40" s="106" t="s">
        <v>41</v>
      </c>
      <c r="D40" s="106" t="s">
        <v>84</v>
      </c>
      <c r="E40" s="125" t="s">
        <v>47</v>
      </c>
      <c r="F40" s="106" t="s">
        <v>48</v>
      </c>
      <c r="G40" s="106" t="s">
        <v>50</v>
      </c>
    </row>
    <row r="41" spans="2:8" s="103" customFormat="1" x14ac:dyDescent="0.25">
      <c r="B41" s="117" t="s">
        <v>42</v>
      </c>
      <c r="C41" s="158">
        <f>B40*C24</f>
        <v>760.66666666666663</v>
      </c>
      <c r="D41" s="162">
        <f>B40*D24</f>
        <v>1361111.111111111</v>
      </c>
      <c r="E41" s="164">
        <f>D41/C41</f>
        <v>1789.3660531697342</v>
      </c>
      <c r="F41" s="165">
        <f t="shared" ref="F41:F46" si="2">D41/$D$47</f>
        <v>0.63399234033743912</v>
      </c>
    </row>
    <row r="42" spans="2:8" s="103" customFormat="1" x14ac:dyDescent="0.25">
      <c r="B42" s="117" t="s">
        <v>43</v>
      </c>
      <c r="C42" s="159">
        <f>B40*C25</f>
        <v>54.888888888888886</v>
      </c>
      <c r="D42" s="162">
        <f>B40*D25</f>
        <v>109777.77777777777</v>
      </c>
      <c r="E42" s="162">
        <f>D42/C42</f>
        <v>2000</v>
      </c>
      <c r="F42" s="165">
        <f t="shared" si="2"/>
        <v>5.113342304109305E-2</v>
      </c>
    </row>
    <row r="43" spans="2:8" s="103" customFormat="1" x14ac:dyDescent="0.25">
      <c r="B43" s="117" t="s">
        <v>44</v>
      </c>
      <c r="C43" s="160">
        <f>B40*C26</f>
        <v>76</v>
      </c>
      <c r="D43" s="162">
        <f>B40*D26</f>
        <v>152222.22222222219</v>
      </c>
      <c r="E43" s="164">
        <f>D43/C43</f>
        <v>2002.9239766081866</v>
      </c>
      <c r="F43" s="165">
        <f t="shared" si="2"/>
        <v>7.090363316426869E-2</v>
      </c>
    </row>
    <row r="44" spans="2:8" s="103" customFormat="1" x14ac:dyDescent="0.25">
      <c r="B44" s="117" t="s">
        <v>45</v>
      </c>
      <c r="C44" s="159">
        <f>B40*C27</f>
        <v>22.666666666666664</v>
      </c>
      <c r="D44" s="162">
        <f>B40*D27</f>
        <v>38444.444444444438</v>
      </c>
      <c r="E44" s="164">
        <f>D44/C44</f>
        <v>1696.0784313725489</v>
      </c>
      <c r="F44" s="165">
        <f t="shared" si="2"/>
        <v>1.7907048959735012E-2</v>
      </c>
    </row>
    <row r="45" spans="2:8" s="103" customFormat="1" ht="30" x14ac:dyDescent="0.25">
      <c r="B45" s="118" t="s">
        <v>49</v>
      </c>
      <c r="C45" s="160">
        <f>B40*C28</f>
        <v>76</v>
      </c>
      <c r="D45" s="162">
        <f>B40*D28</f>
        <v>152000</v>
      </c>
      <c r="E45" s="162">
        <f>D45/C45</f>
        <v>2000</v>
      </c>
      <c r="F45" s="165">
        <f t="shared" si="2"/>
        <v>7.080012421074422E-2</v>
      </c>
    </row>
    <row r="46" spans="2:8" s="103" customFormat="1" x14ac:dyDescent="0.25">
      <c r="B46" s="119" t="s">
        <v>46</v>
      </c>
      <c r="C46" s="161">
        <f>B40*C29</f>
        <v>0</v>
      </c>
      <c r="D46" s="163">
        <f>B40*D29</f>
        <v>333333.33333333331</v>
      </c>
      <c r="E46" s="163"/>
      <c r="F46" s="166">
        <f t="shared" si="2"/>
        <v>0.15526343028671979</v>
      </c>
      <c r="G46" s="108"/>
      <c r="H46" s="103" t="s">
        <v>51</v>
      </c>
    </row>
    <row r="47" spans="2:8" s="103" customFormat="1" x14ac:dyDescent="0.25">
      <c r="B47" s="312" t="s">
        <v>161</v>
      </c>
      <c r="C47" s="169">
        <f>SUM(C41:C46)</f>
        <v>990.22222222222217</v>
      </c>
      <c r="D47" s="113">
        <f>SUM(D41:D46)</f>
        <v>2146888.888888889</v>
      </c>
      <c r="E47" s="171">
        <f>D47/C47</f>
        <v>2168.087971274686</v>
      </c>
      <c r="F47" s="170">
        <f>SUM(F41:F46)</f>
        <v>1</v>
      </c>
      <c r="G47" s="172">
        <f>(G30*B40)/(E38/E21)</f>
        <v>5.9259259259259256</v>
      </c>
      <c r="H47" s="124">
        <f>(D47-D46)/G47/E38</f>
        <v>34004.166666666672</v>
      </c>
    </row>
    <row r="48" spans="2:8" s="103" customFormat="1" x14ac:dyDescent="0.25">
      <c r="B48" s="117"/>
      <c r="C48" s="106"/>
      <c r="F48" s="106"/>
      <c r="H48" s="123" t="s">
        <v>52</v>
      </c>
    </row>
    <row r="49" spans="2:8" s="103" customFormat="1" x14ac:dyDescent="0.25">
      <c r="B49" s="117" t="s">
        <v>95</v>
      </c>
      <c r="C49" s="106">
        <v>1.5</v>
      </c>
      <c r="D49" s="109">
        <f>C49*D47</f>
        <v>3220333.3333333335</v>
      </c>
      <c r="G49" s="107"/>
    </row>
    <row r="50" spans="2:8" s="103" customFormat="1" x14ac:dyDescent="0.25">
      <c r="B50" s="117" t="s">
        <v>96</v>
      </c>
      <c r="C50" s="106">
        <v>0.5</v>
      </c>
      <c r="D50" s="109">
        <f>C50*D47</f>
        <v>1073444.4444444445</v>
      </c>
      <c r="G50" s="107"/>
    </row>
    <row r="53" spans="2:8" s="110" customFormat="1" x14ac:dyDescent="0.25">
      <c r="C53" s="111" t="s">
        <v>136</v>
      </c>
    </row>
    <row r="54" spans="2:8" s="110" customFormat="1" x14ac:dyDescent="0.25"/>
    <row r="55" spans="2:8" s="110" customFormat="1" ht="28.9" customHeight="1" x14ac:dyDescent="0.25">
      <c r="C55" s="127"/>
      <c r="D55" s="300" t="s">
        <v>114</v>
      </c>
      <c r="E55" s="301"/>
      <c r="F55" s="140" t="s">
        <v>117</v>
      </c>
    </row>
    <row r="56" spans="2:8" s="110" customFormat="1" x14ac:dyDescent="0.25">
      <c r="B56" s="120" t="s">
        <v>115</v>
      </c>
      <c r="C56" s="127"/>
      <c r="D56" s="302">
        <v>4</v>
      </c>
      <c r="E56" s="303"/>
      <c r="F56" s="173"/>
    </row>
    <row r="57" spans="2:8" s="110" customFormat="1" x14ac:dyDescent="0.25">
      <c r="B57" s="120" t="s">
        <v>116</v>
      </c>
      <c r="C57" s="127"/>
      <c r="D57" s="304">
        <v>100000</v>
      </c>
      <c r="E57" s="303"/>
      <c r="F57" s="173"/>
    </row>
    <row r="58" spans="2:8" s="110" customFormat="1" x14ac:dyDescent="0.25">
      <c r="B58" s="120" t="s">
        <v>118</v>
      </c>
      <c r="C58" s="127"/>
      <c r="D58" s="302"/>
      <c r="E58" s="303"/>
      <c r="F58" s="174">
        <v>20000</v>
      </c>
    </row>
    <row r="59" spans="2:8" s="110" customFormat="1" x14ac:dyDescent="0.25">
      <c r="B59" s="120" t="s">
        <v>103</v>
      </c>
      <c r="C59" s="127"/>
      <c r="D59" s="302">
        <v>48</v>
      </c>
      <c r="E59" s="303"/>
      <c r="F59" s="173">
        <v>15</v>
      </c>
    </row>
    <row r="60" spans="2:8" s="110" customFormat="1" x14ac:dyDescent="0.25">
      <c r="B60" s="120"/>
      <c r="C60" s="127"/>
      <c r="F60" s="127"/>
    </row>
    <row r="61" spans="2:8" s="110" customFormat="1" x14ac:dyDescent="0.25">
      <c r="B61" s="313" t="s">
        <v>168</v>
      </c>
      <c r="C61" s="127"/>
      <c r="D61" s="297">
        <f>D57/52*D56*D59</f>
        <v>369230.76923076925</v>
      </c>
      <c r="E61" s="298"/>
      <c r="F61" s="175">
        <f>F59*F58</f>
        <v>300000</v>
      </c>
    </row>
    <row r="62" spans="2:8" s="110" customFormat="1" x14ac:dyDescent="0.25">
      <c r="B62" s="120"/>
      <c r="C62" s="127"/>
      <c r="F62" s="127"/>
    </row>
    <row r="63" spans="2:8" s="110" customFormat="1" x14ac:dyDescent="0.25">
      <c r="B63" s="120" t="s">
        <v>95</v>
      </c>
      <c r="C63" s="127">
        <v>1.5</v>
      </c>
      <c r="D63" s="299">
        <f>C63*D61</f>
        <v>553846.15384615387</v>
      </c>
      <c r="E63" s="298"/>
      <c r="F63" s="176">
        <f>C63*F61</f>
        <v>450000</v>
      </c>
      <c r="H63" s="112"/>
    </row>
    <row r="64" spans="2:8" s="110" customFormat="1" x14ac:dyDescent="0.25">
      <c r="B64" s="120" t="s">
        <v>96</v>
      </c>
      <c r="C64" s="127">
        <v>0.5</v>
      </c>
      <c r="D64" s="299">
        <f>C64*D61</f>
        <v>184615.38461538462</v>
      </c>
      <c r="E64" s="298"/>
      <c r="F64" s="176">
        <f>C64*F61</f>
        <v>150000</v>
      </c>
      <c r="H64" s="112"/>
    </row>
  </sheetData>
  <mergeCells count="8">
    <mergeCell ref="D61:E61"/>
    <mergeCell ref="D63:E63"/>
    <mergeCell ref="D64:E64"/>
    <mergeCell ref="D55:E55"/>
    <mergeCell ref="D56:E56"/>
    <mergeCell ref="D57:E57"/>
    <mergeCell ref="D58:E58"/>
    <mergeCell ref="D59:E59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L138"/>
  <sheetViews>
    <sheetView workbookViewId="0"/>
  </sheetViews>
  <sheetFormatPr defaultRowHeight="15" x14ac:dyDescent="0.25"/>
  <cols>
    <col min="2" max="2" width="19.5703125" bestFit="1" customWidth="1"/>
    <col min="3" max="3" width="11.140625" customWidth="1"/>
    <col min="4" max="4" width="11.7109375" customWidth="1"/>
    <col min="5" max="5" width="12.5703125" customWidth="1"/>
    <col min="6" max="7" width="11.140625" customWidth="1"/>
    <col min="8" max="8" width="12" customWidth="1"/>
    <col min="9" max="11" width="11.85546875" bestFit="1" customWidth="1"/>
    <col min="12" max="12" width="11.7109375" customWidth="1"/>
    <col min="13" max="36" width="11.85546875" bestFit="1" customWidth="1"/>
    <col min="37" max="38" width="9.85546875" bestFit="1" customWidth="1"/>
  </cols>
  <sheetData>
    <row r="2" spans="2:5" ht="18.75" x14ac:dyDescent="0.3">
      <c r="B2" s="38" t="s">
        <v>108</v>
      </c>
    </row>
    <row r="4" spans="2:5" s="25" customFormat="1" x14ac:dyDescent="0.25">
      <c r="C4" s="26" t="s">
        <v>74</v>
      </c>
    </row>
    <row r="5" spans="2:5" s="25" customFormat="1" x14ac:dyDescent="0.25"/>
    <row r="6" spans="2:5" s="25" customFormat="1" x14ac:dyDescent="0.25">
      <c r="B6" s="41" t="s">
        <v>61</v>
      </c>
    </row>
    <row r="7" spans="2:5" s="25" customFormat="1" x14ac:dyDescent="0.25"/>
    <row r="8" spans="2:5" s="25" customFormat="1" x14ac:dyDescent="0.25">
      <c r="C8" s="90" t="s">
        <v>15</v>
      </c>
      <c r="D8" s="89" t="s">
        <v>84</v>
      </c>
      <c r="E8" s="90" t="s">
        <v>120</v>
      </c>
    </row>
    <row r="9" spans="2:5" s="25" customFormat="1" x14ac:dyDescent="0.25">
      <c r="B9" s="25" t="s">
        <v>17</v>
      </c>
      <c r="C9" s="128">
        <v>5</v>
      </c>
      <c r="D9" s="201">
        <f>(1*140000)+(4*100000)</f>
        <v>540000</v>
      </c>
      <c r="E9" s="201" t="s">
        <v>112</v>
      </c>
    </row>
    <row r="10" spans="2:5" s="25" customFormat="1" x14ac:dyDescent="0.25">
      <c r="B10" s="25" t="s">
        <v>18</v>
      </c>
      <c r="C10" s="128">
        <v>1</v>
      </c>
      <c r="D10" s="201">
        <f>(0.5*140000)+(0.5*100000)</f>
        <v>120000</v>
      </c>
      <c r="E10" s="201" t="s">
        <v>113</v>
      </c>
    </row>
    <row r="11" spans="2:5" s="25" customFormat="1" x14ac:dyDescent="0.25">
      <c r="B11" s="25" t="s">
        <v>19</v>
      </c>
      <c r="C11" s="128">
        <v>1</v>
      </c>
      <c r="D11" s="201">
        <f>C11*E11</f>
        <v>100000</v>
      </c>
      <c r="E11" s="201">
        <v>100000</v>
      </c>
    </row>
    <row r="12" spans="2:5" s="25" customFormat="1" x14ac:dyDescent="0.25">
      <c r="B12" s="25" t="s">
        <v>20</v>
      </c>
      <c r="C12" s="128">
        <v>5</v>
      </c>
      <c r="D12" s="201">
        <f>(1*140000)+(4*100000)</f>
        <v>540000</v>
      </c>
      <c r="E12" s="201" t="s">
        <v>112</v>
      </c>
    </row>
    <row r="13" spans="2:5" s="25" customFormat="1" x14ac:dyDescent="0.25">
      <c r="B13" s="25" t="s">
        <v>21</v>
      </c>
      <c r="C13" s="128">
        <v>0.5</v>
      </c>
      <c r="D13" s="201">
        <f>C13*E13</f>
        <v>50000</v>
      </c>
      <c r="E13" s="201">
        <v>100000</v>
      </c>
    </row>
    <row r="14" spans="2:5" s="25" customFormat="1" x14ac:dyDescent="0.25">
      <c r="B14" s="25" t="s">
        <v>24</v>
      </c>
      <c r="C14" s="128">
        <v>1</v>
      </c>
      <c r="D14" s="201">
        <f>C14*E14</f>
        <v>100000</v>
      </c>
      <c r="E14" s="201">
        <v>100000</v>
      </c>
    </row>
    <row r="15" spans="2:5" s="25" customFormat="1" x14ac:dyDescent="0.25">
      <c r="B15" s="25" t="s">
        <v>23</v>
      </c>
      <c r="C15" s="128">
        <v>0.75</v>
      </c>
      <c r="D15" s="201">
        <f>C15*E15</f>
        <v>75000</v>
      </c>
      <c r="E15" s="201">
        <v>100000</v>
      </c>
    </row>
    <row r="16" spans="2:5" s="25" customFormat="1" x14ac:dyDescent="0.25">
      <c r="B16" s="40" t="s">
        <v>22</v>
      </c>
      <c r="C16" s="200">
        <v>0</v>
      </c>
      <c r="D16" s="202">
        <f>C16*E16</f>
        <v>0</v>
      </c>
      <c r="E16" s="203">
        <v>0</v>
      </c>
    </row>
    <row r="17" spans="2:5" s="25" customFormat="1" x14ac:dyDescent="0.25">
      <c r="B17" s="25" t="s">
        <v>25</v>
      </c>
      <c r="C17" s="61">
        <f>SUM(C9:C16)</f>
        <v>14.25</v>
      </c>
      <c r="D17" s="78">
        <f>SUM(D9:D16)</f>
        <v>1525000</v>
      </c>
      <c r="E17" s="27"/>
    </row>
    <row r="18" spans="2:5" s="25" customFormat="1" x14ac:dyDescent="0.25"/>
    <row r="19" spans="2:5" s="25" customFormat="1" x14ac:dyDescent="0.25">
      <c r="B19" s="41" t="s">
        <v>62</v>
      </c>
    </row>
    <row r="20" spans="2:5" s="25" customFormat="1" x14ac:dyDescent="0.25"/>
    <row r="21" spans="2:5" s="25" customFormat="1" x14ac:dyDescent="0.25">
      <c r="C21" s="90" t="s">
        <v>15</v>
      </c>
      <c r="D21" s="89" t="s">
        <v>84</v>
      </c>
      <c r="E21" s="90" t="s">
        <v>120</v>
      </c>
    </row>
    <row r="22" spans="2:5" s="25" customFormat="1" x14ac:dyDescent="0.25">
      <c r="B22" s="25" t="s">
        <v>17</v>
      </c>
      <c r="C22" s="128">
        <v>3</v>
      </c>
      <c r="D22" s="201">
        <f>(0.5*140000)+(2.5*100000)</f>
        <v>320000</v>
      </c>
      <c r="E22" s="201" t="s">
        <v>121</v>
      </c>
    </row>
    <row r="23" spans="2:5" s="25" customFormat="1" x14ac:dyDescent="0.25">
      <c r="B23" s="25" t="s">
        <v>18</v>
      </c>
      <c r="C23" s="128">
        <v>0.5</v>
      </c>
      <c r="D23" s="201">
        <f t="shared" ref="D23:D29" si="0">C23*E23</f>
        <v>50000</v>
      </c>
      <c r="E23" s="201">
        <v>100000</v>
      </c>
    </row>
    <row r="24" spans="2:5" s="25" customFormat="1" x14ac:dyDescent="0.25">
      <c r="B24" s="25" t="s">
        <v>19</v>
      </c>
      <c r="C24" s="128">
        <v>1</v>
      </c>
      <c r="D24" s="201">
        <f t="shared" si="0"/>
        <v>100000</v>
      </c>
      <c r="E24" s="201">
        <v>100000</v>
      </c>
    </row>
    <row r="25" spans="2:5" s="25" customFormat="1" x14ac:dyDescent="0.25">
      <c r="B25" s="25" t="s">
        <v>20</v>
      </c>
      <c r="C25" s="128">
        <v>0.5</v>
      </c>
      <c r="D25" s="201">
        <f t="shared" si="0"/>
        <v>50000</v>
      </c>
      <c r="E25" s="201">
        <v>100000</v>
      </c>
    </row>
    <row r="26" spans="2:5" s="25" customFormat="1" x14ac:dyDescent="0.25">
      <c r="B26" s="25" t="s">
        <v>21</v>
      </c>
      <c r="C26" s="128">
        <v>0.1</v>
      </c>
      <c r="D26" s="201">
        <f t="shared" si="0"/>
        <v>10000</v>
      </c>
      <c r="E26" s="201">
        <v>100000</v>
      </c>
    </row>
    <row r="27" spans="2:5" s="25" customFormat="1" x14ac:dyDescent="0.25">
      <c r="B27" s="25" t="s">
        <v>24</v>
      </c>
      <c r="C27" s="128">
        <v>0.5</v>
      </c>
      <c r="D27" s="201">
        <f t="shared" si="0"/>
        <v>50000</v>
      </c>
      <c r="E27" s="201">
        <v>100000</v>
      </c>
    </row>
    <row r="28" spans="2:5" s="25" customFormat="1" x14ac:dyDescent="0.25">
      <c r="B28" s="25" t="s">
        <v>23</v>
      </c>
      <c r="C28" s="128">
        <v>0.25</v>
      </c>
      <c r="D28" s="201">
        <f t="shared" si="0"/>
        <v>25000</v>
      </c>
      <c r="E28" s="201">
        <v>100000</v>
      </c>
    </row>
    <row r="29" spans="2:5" s="25" customFormat="1" x14ac:dyDescent="0.25">
      <c r="B29" s="40" t="s">
        <v>22</v>
      </c>
      <c r="C29" s="200">
        <v>1</v>
      </c>
      <c r="D29" s="202">
        <f t="shared" si="0"/>
        <v>200000</v>
      </c>
      <c r="E29" s="203">
        <v>200000</v>
      </c>
    </row>
    <row r="30" spans="2:5" s="25" customFormat="1" x14ac:dyDescent="0.25">
      <c r="B30" s="25" t="s">
        <v>25</v>
      </c>
      <c r="C30" s="61">
        <f>SUM(C22:C29)</f>
        <v>6.85</v>
      </c>
      <c r="D30" s="27">
        <f>SUM(D22:D29)</f>
        <v>805000</v>
      </c>
    </row>
    <row r="33" spans="2:7" s="29" customFormat="1" x14ac:dyDescent="0.25">
      <c r="C33" s="28" t="s">
        <v>135</v>
      </c>
    </row>
    <row r="34" spans="2:7" s="29" customFormat="1" x14ac:dyDescent="0.25">
      <c r="B34" s="43" t="s">
        <v>61</v>
      </c>
    </row>
    <row r="35" spans="2:7" s="29" customFormat="1" x14ac:dyDescent="0.25"/>
    <row r="36" spans="2:7" s="29" customFormat="1" x14ac:dyDescent="0.25">
      <c r="B36" s="44">
        <f>3/4</f>
        <v>0.75</v>
      </c>
      <c r="C36" s="87" t="s">
        <v>15</v>
      </c>
      <c r="D36" s="86" t="s">
        <v>84</v>
      </c>
    </row>
    <row r="37" spans="2:7" s="29" customFormat="1" x14ac:dyDescent="0.25">
      <c r="B37" s="29" t="s">
        <v>17</v>
      </c>
      <c r="C37" s="128">
        <f>C9*B36</f>
        <v>3.75</v>
      </c>
      <c r="D37" s="201">
        <f>D9*B36</f>
        <v>405000</v>
      </c>
    </row>
    <row r="38" spans="2:7" s="29" customFormat="1" x14ac:dyDescent="0.25">
      <c r="B38" s="29" t="s">
        <v>18</v>
      </c>
      <c r="C38" s="128">
        <f>C10*B36</f>
        <v>0.75</v>
      </c>
      <c r="D38" s="201">
        <f>D10*B36</f>
        <v>90000</v>
      </c>
    </row>
    <row r="39" spans="2:7" s="29" customFormat="1" x14ac:dyDescent="0.25">
      <c r="B39" s="29" t="s">
        <v>19</v>
      </c>
      <c r="C39" s="128">
        <f>C11*B36</f>
        <v>0.75</v>
      </c>
      <c r="D39" s="201">
        <f>D11*B36</f>
        <v>75000</v>
      </c>
    </row>
    <row r="40" spans="2:7" s="29" customFormat="1" x14ac:dyDescent="0.25">
      <c r="B40" s="29" t="s">
        <v>20</v>
      </c>
      <c r="C40" s="128">
        <f>C12*B36</f>
        <v>3.75</v>
      </c>
      <c r="D40" s="201">
        <f>D12*B36</f>
        <v>405000</v>
      </c>
    </row>
    <row r="41" spans="2:7" s="29" customFormat="1" x14ac:dyDescent="0.25">
      <c r="B41" s="29" t="s">
        <v>21</v>
      </c>
      <c r="C41" s="128">
        <f>C13*B36</f>
        <v>0.375</v>
      </c>
      <c r="D41" s="201">
        <f>D13*B36</f>
        <v>37500</v>
      </c>
      <c r="E41" s="30"/>
    </row>
    <row r="42" spans="2:7" s="29" customFormat="1" x14ac:dyDescent="0.25">
      <c r="B42" s="29" t="s">
        <v>24</v>
      </c>
      <c r="C42" s="128">
        <f>C14*B36</f>
        <v>0.75</v>
      </c>
      <c r="D42" s="201">
        <f>D14*B36</f>
        <v>75000</v>
      </c>
      <c r="E42" s="30"/>
    </row>
    <row r="43" spans="2:7" s="29" customFormat="1" x14ac:dyDescent="0.25">
      <c r="B43" s="29" t="s">
        <v>23</v>
      </c>
      <c r="C43" s="128">
        <f>C15*B36</f>
        <v>0.5625</v>
      </c>
      <c r="D43" s="201">
        <f>D15*B36</f>
        <v>56250</v>
      </c>
      <c r="E43" s="30"/>
    </row>
    <row r="44" spans="2:7" s="29" customFormat="1" x14ac:dyDescent="0.25">
      <c r="B44" s="39" t="s">
        <v>22</v>
      </c>
      <c r="C44" s="200">
        <f>C16*B36</f>
        <v>0</v>
      </c>
      <c r="D44" s="202">
        <f>D16*B36</f>
        <v>0</v>
      </c>
      <c r="E44" s="30"/>
    </row>
    <row r="45" spans="2:7" s="29" customFormat="1" x14ac:dyDescent="0.25">
      <c r="B45" s="306" t="s">
        <v>161</v>
      </c>
      <c r="C45" s="29">
        <f>SUM(C37:C44)</f>
        <v>10.6875</v>
      </c>
      <c r="D45" s="307">
        <f>SUM(D37:D44)</f>
        <v>1143750</v>
      </c>
      <c r="E45" s="30"/>
    </row>
    <row r="46" spans="2:7" s="29" customFormat="1" x14ac:dyDescent="0.25"/>
    <row r="47" spans="2:7" s="29" customFormat="1" x14ac:dyDescent="0.25">
      <c r="B47" s="29" t="s">
        <v>95</v>
      </c>
      <c r="C47" s="29">
        <v>1.5</v>
      </c>
      <c r="D47" s="36">
        <f>C47*D45</f>
        <v>1715625</v>
      </c>
      <c r="G47" s="30"/>
    </row>
    <row r="48" spans="2:7" s="29" customFormat="1" x14ac:dyDescent="0.25">
      <c r="B48" s="29" t="s">
        <v>96</v>
      </c>
      <c r="C48" s="29">
        <v>0.5</v>
      </c>
      <c r="D48" s="36">
        <f>C48*D45</f>
        <v>571875</v>
      </c>
      <c r="G48" s="30"/>
    </row>
    <row r="49" spans="2:11" s="29" customFormat="1" x14ac:dyDescent="0.25"/>
    <row r="50" spans="2:11" s="29" customFormat="1" x14ac:dyDescent="0.25">
      <c r="B50" s="43" t="s">
        <v>163</v>
      </c>
    </row>
    <row r="51" spans="2:11" s="29" customFormat="1" x14ac:dyDescent="0.25">
      <c r="C51" s="309" t="s">
        <v>164</v>
      </c>
      <c r="G51" s="37">
        <v>0</v>
      </c>
      <c r="H51" s="29" t="s">
        <v>98</v>
      </c>
    </row>
    <row r="52" spans="2:11" s="29" customFormat="1" x14ac:dyDescent="0.25">
      <c r="B52" s="44">
        <f>3/4</f>
        <v>0.75</v>
      </c>
      <c r="C52" s="87" t="s">
        <v>15</v>
      </c>
      <c r="D52" s="86" t="s">
        <v>84</v>
      </c>
      <c r="G52" s="87" t="s">
        <v>119</v>
      </c>
      <c r="H52" s="86">
        <v>2</v>
      </c>
      <c r="I52" s="86">
        <v>3</v>
      </c>
      <c r="J52" s="86">
        <v>4</v>
      </c>
      <c r="K52" s="86">
        <v>5</v>
      </c>
    </row>
    <row r="53" spans="2:11" s="29" customFormat="1" x14ac:dyDescent="0.25">
      <c r="B53" s="29" t="s">
        <v>17</v>
      </c>
      <c r="C53" s="128">
        <f>C22*B52</f>
        <v>2.25</v>
      </c>
      <c r="D53" s="129">
        <f>D22*B52</f>
        <v>240000</v>
      </c>
      <c r="H53" s="129">
        <f>$D$53*(1+$G$51)^H52</f>
        <v>240000</v>
      </c>
      <c r="I53" s="129">
        <f t="shared" ref="I53:K53" si="1">$D$53*(1+$G$51)^I52</f>
        <v>240000</v>
      </c>
      <c r="J53" s="129">
        <f t="shared" si="1"/>
        <v>240000</v>
      </c>
      <c r="K53" s="129">
        <f t="shared" si="1"/>
        <v>240000</v>
      </c>
    </row>
    <row r="54" spans="2:11" s="29" customFormat="1" x14ac:dyDescent="0.25">
      <c r="B54" s="29" t="s">
        <v>18</v>
      </c>
      <c r="C54" s="128">
        <f>C23*B52</f>
        <v>0.375</v>
      </c>
      <c r="D54" s="129">
        <f>D23*B52</f>
        <v>37500</v>
      </c>
      <c r="H54" s="129">
        <f>$D$54*(1+$G$51)^H52</f>
        <v>37500</v>
      </c>
      <c r="I54" s="129">
        <f t="shared" ref="I54:K54" si="2">$D$54*(1+$G$51)^I52</f>
        <v>37500</v>
      </c>
      <c r="J54" s="129">
        <f t="shared" si="2"/>
        <v>37500</v>
      </c>
      <c r="K54" s="129">
        <f t="shared" si="2"/>
        <v>37500</v>
      </c>
    </row>
    <row r="55" spans="2:11" s="29" customFormat="1" x14ac:dyDescent="0.25">
      <c r="B55" s="29" t="s">
        <v>19</v>
      </c>
      <c r="C55" s="128">
        <f>C24*B52</f>
        <v>0.75</v>
      </c>
      <c r="D55" s="129">
        <f>D24*B52</f>
        <v>75000</v>
      </c>
      <c r="H55" s="129">
        <f>$D$55*(1+$G$51)^H52</f>
        <v>75000</v>
      </c>
      <c r="I55" s="129">
        <f t="shared" ref="I55:K55" si="3">$D$55*(1+$G$51)^I52</f>
        <v>75000</v>
      </c>
      <c r="J55" s="129">
        <f t="shared" si="3"/>
        <v>75000</v>
      </c>
      <c r="K55" s="129">
        <f t="shared" si="3"/>
        <v>75000</v>
      </c>
    </row>
    <row r="56" spans="2:11" s="29" customFormat="1" x14ac:dyDescent="0.25">
      <c r="B56" s="29" t="s">
        <v>20</v>
      </c>
      <c r="C56" s="128">
        <f>C25*B52</f>
        <v>0.375</v>
      </c>
      <c r="D56" s="129">
        <f>D25*B52</f>
        <v>37500</v>
      </c>
      <c r="E56" s="30"/>
      <c r="H56" s="129">
        <f>$D$56*(1+$G$51)^H52</f>
        <v>37500</v>
      </c>
      <c r="I56" s="129">
        <f t="shared" ref="I56:K56" si="4">$D$56*(1+$G$51)^I52</f>
        <v>37500</v>
      </c>
      <c r="J56" s="129">
        <f t="shared" si="4"/>
        <v>37500</v>
      </c>
      <c r="K56" s="129">
        <f t="shared" si="4"/>
        <v>37500</v>
      </c>
    </row>
    <row r="57" spans="2:11" s="29" customFormat="1" x14ac:dyDescent="0.25">
      <c r="B57" s="29" t="s">
        <v>21</v>
      </c>
      <c r="C57" s="128">
        <f>C26*B52</f>
        <v>7.5000000000000011E-2</v>
      </c>
      <c r="D57" s="129">
        <f>D26*B52</f>
        <v>7500</v>
      </c>
      <c r="E57" s="30"/>
      <c r="H57" s="129">
        <f>$D$57*(1+$G$51)^H52</f>
        <v>7500</v>
      </c>
      <c r="I57" s="129">
        <f t="shared" ref="I57:K57" si="5">$D$57*(1+$G$51)^I52</f>
        <v>7500</v>
      </c>
      <c r="J57" s="129">
        <f t="shared" si="5"/>
        <v>7500</v>
      </c>
      <c r="K57" s="129">
        <f t="shared" si="5"/>
        <v>7500</v>
      </c>
    </row>
    <row r="58" spans="2:11" s="29" customFormat="1" x14ac:dyDescent="0.25">
      <c r="B58" s="29" t="s">
        <v>24</v>
      </c>
      <c r="C58" s="128">
        <f>C27*B52</f>
        <v>0.375</v>
      </c>
      <c r="D58" s="129">
        <f>D27*B52</f>
        <v>37500</v>
      </c>
      <c r="E58" s="30"/>
      <c r="H58" s="129">
        <f>$D$58*(1+$G$51)^H52</f>
        <v>37500</v>
      </c>
      <c r="I58" s="129">
        <f t="shared" ref="I58:K58" si="6">$D$58*(1+$G$51)^I52</f>
        <v>37500</v>
      </c>
      <c r="J58" s="129">
        <f t="shared" si="6"/>
        <v>37500</v>
      </c>
      <c r="K58" s="129">
        <f t="shared" si="6"/>
        <v>37500</v>
      </c>
    </row>
    <row r="59" spans="2:11" s="29" customFormat="1" x14ac:dyDescent="0.25">
      <c r="B59" s="29" t="s">
        <v>23</v>
      </c>
      <c r="C59" s="128">
        <f>C28*B52</f>
        <v>0.1875</v>
      </c>
      <c r="D59" s="129">
        <f>D28*B52</f>
        <v>18750</v>
      </c>
      <c r="E59" s="30"/>
      <c r="H59" s="129">
        <f>$D$59*(1+$G$51)^H52</f>
        <v>18750</v>
      </c>
      <c r="I59" s="129">
        <f t="shared" ref="I59:K59" si="7">$D$59*(1+$G$51)^I52</f>
        <v>18750</v>
      </c>
      <c r="J59" s="129">
        <f t="shared" si="7"/>
        <v>18750</v>
      </c>
      <c r="K59" s="129">
        <f t="shared" si="7"/>
        <v>18750</v>
      </c>
    </row>
    <row r="60" spans="2:11" s="29" customFormat="1" x14ac:dyDescent="0.25">
      <c r="B60" s="39" t="s">
        <v>22</v>
      </c>
      <c r="C60" s="200">
        <f>C29*B52</f>
        <v>0.75</v>
      </c>
      <c r="D60" s="204">
        <f>D29*B52</f>
        <v>150000</v>
      </c>
      <c r="E60" s="30"/>
      <c r="H60" s="129">
        <f>$D$60*(1+$G$51)^H52</f>
        <v>150000</v>
      </c>
      <c r="I60" s="129">
        <f t="shared" ref="I60:K60" si="8">$D$60*(1+$G$51)^I52</f>
        <v>150000</v>
      </c>
      <c r="J60" s="129">
        <f t="shared" si="8"/>
        <v>150000</v>
      </c>
      <c r="K60" s="129">
        <f t="shared" si="8"/>
        <v>150000</v>
      </c>
    </row>
    <row r="61" spans="2:11" s="29" customFormat="1" x14ac:dyDescent="0.25">
      <c r="B61" s="29" t="s">
        <v>25</v>
      </c>
      <c r="C61" s="31">
        <f>SUM(C53:C60)</f>
        <v>5.1375000000000002</v>
      </c>
      <c r="D61" s="45">
        <f>SUM(D53:D60)</f>
        <v>603750</v>
      </c>
      <c r="H61" s="30">
        <f t="shared" ref="H61:K61" si="9">SUM(H53:H60)</f>
        <v>603750</v>
      </c>
      <c r="I61" s="30">
        <f t="shared" si="9"/>
        <v>603750</v>
      </c>
      <c r="J61" s="30">
        <f t="shared" si="9"/>
        <v>603750</v>
      </c>
      <c r="K61" s="30">
        <f t="shared" si="9"/>
        <v>603750</v>
      </c>
    </row>
    <row r="62" spans="2:11" s="29" customFormat="1" x14ac:dyDescent="0.25"/>
    <row r="63" spans="2:11" s="29" customFormat="1" x14ac:dyDescent="0.25">
      <c r="B63" s="29" t="s">
        <v>99</v>
      </c>
      <c r="C63" s="37">
        <v>0.06</v>
      </c>
      <c r="H63" s="45">
        <f>-PV($C$63,H52,0,H61)</f>
        <v>537335.35065859731</v>
      </c>
      <c r="I63" s="45">
        <f t="shared" ref="I63:K63" si="10">-PV($C$63,I52,0,I61)</f>
        <v>506920.14213075209</v>
      </c>
      <c r="J63" s="45">
        <f t="shared" si="10"/>
        <v>478226.5491799548</v>
      </c>
      <c r="K63" s="45">
        <f t="shared" si="10"/>
        <v>451157.12186788185</v>
      </c>
    </row>
    <row r="64" spans="2:11" s="29" customFormat="1" x14ac:dyDescent="0.25">
      <c r="C64" s="47"/>
      <c r="H64" s="45"/>
      <c r="I64" s="45"/>
      <c r="J64" s="45"/>
      <c r="K64" s="45"/>
    </row>
    <row r="65" spans="2:32" s="29" customFormat="1" x14ac:dyDescent="0.25">
      <c r="B65" s="306" t="s">
        <v>161</v>
      </c>
      <c r="C65" s="47"/>
      <c r="D65" s="307">
        <f>SUM(H63:K63)</f>
        <v>1973639.1638371861</v>
      </c>
      <c r="H65" s="45"/>
      <c r="I65" s="45"/>
      <c r="J65" s="45"/>
      <c r="K65" s="45"/>
    </row>
    <row r="66" spans="2:32" s="29" customFormat="1" x14ac:dyDescent="0.25"/>
    <row r="67" spans="2:32" s="29" customFormat="1" x14ac:dyDescent="0.25">
      <c r="B67" s="29" t="s">
        <v>95</v>
      </c>
      <c r="C67" s="29">
        <v>1.5</v>
      </c>
      <c r="D67" s="36">
        <f>C67*D65</f>
        <v>2960458.7457557791</v>
      </c>
      <c r="G67" s="30"/>
    </row>
    <row r="68" spans="2:32" s="29" customFormat="1" x14ac:dyDescent="0.25">
      <c r="B68" s="29" t="s">
        <v>96</v>
      </c>
      <c r="C68" s="29">
        <v>0.5</v>
      </c>
      <c r="D68" s="36">
        <f>C68*D65</f>
        <v>986819.58191859303</v>
      </c>
      <c r="G68" s="30"/>
    </row>
    <row r="69" spans="2:32" s="32" customFormat="1" x14ac:dyDescent="0.25"/>
    <row r="70" spans="2:32" s="32" customFormat="1" x14ac:dyDescent="0.25">
      <c r="B70" s="46" t="s">
        <v>165</v>
      </c>
    </row>
    <row r="71" spans="2:32" s="32" customFormat="1" x14ac:dyDescent="0.25">
      <c r="C71" s="310" t="s">
        <v>164</v>
      </c>
      <c r="G71" s="37">
        <v>0</v>
      </c>
      <c r="H71" s="205" t="s">
        <v>98</v>
      </c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  <c r="Y71" s="205"/>
      <c r="Z71" s="205"/>
      <c r="AA71" s="205"/>
      <c r="AB71" s="205"/>
      <c r="AC71" s="205"/>
      <c r="AD71" s="205"/>
      <c r="AE71" s="205"/>
      <c r="AF71" s="205"/>
    </row>
    <row r="72" spans="2:32" s="32" customFormat="1" x14ac:dyDescent="0.25">
      <c r="B72" s="49"/>
      <c r="C72" s="205" t="s">
        <v>15</v>
      </c>
      <c r="D72" s="205" t="s">
        <v>16</v>
      </c>
      <c r="G72" s="32" t="s">
        <v>119</v>
      </c>
      <c r="H72" s="205">
        <v>6</v>
      </c>
      <c r="I72" s="205">
        <v>7</v>
      </c>
      <c r="J72" s="205">
        <v>8</v>
      </c>
      <c r="K72" s="205">
        <v>9</v>
      </c>
      <c r="L72" s="205">
        <v>10</v>
      </c>
      <c r="M72" s="205">
        <v>11</v>
      </c>
      <c r="N72" s="205">
        <v>12</v>
      </c>
      <c r="O72" s="205">
        <v>13</v>
      </c>
      <c r="P72" s="205">
        <v>14</v>
      </c>
      <c r="Q72" s="205">
        <v>15</v>
      </c>
      <c r="R72" s="205">
        <v>16</v>
      </c>
      <c r="S72" s="205">
        <v>17</v>
      </c>
      <c r="T72" s="205">
        <v>18</v>
      </c>
      <c r="U72" s="205">
        <v>19</v>
      </c>
      <c r="V72" s="205">
        <v>20</v>
      </c>
      <c r="W72" s="205">
        <v>21</v>
      </c>
      <c r="X72" s="205">
        <v>22</v>
      </c>
      <c r="Y72" s="205">
        <v>23</v>
      </c>
      <c r="Z72" s="205">
        <v>24</v>
      </c>
      <c r="AA72" s="205">
        <v>25</v>
      </c>
      <c r="AB72" s="205">
        <v>26</v>
      </c>
      <c r="AC72" s="205">
        <v>27</v>
      </c>
      <c r="AD72" s="205">
        <v>28</v>
      </c>
      <c r="AE72" s="205">
        <v>29</v>
      </c>
      <c r="AF72" s="205">
        <v>30</v>
      </c>
    </row>
    <row r="73" spans="2:32" s="32" customFormat="1" x14ac:dyDescent="0.25">
      <c r="B73" s="32" t="s">
        <v>17</v>
      </c>
      <c r="C73" s="193">
        <f t="shared" ref="C73:D80" si="11">C53</f>
        <v>2.25</v>
      </c>
      <c r="D73" s="190">
        <f t="shared" si="11"/>
        <v>240000</v>
      </c>
      <c r="H73" s="196">
        <f>$D$73*(1+$G$71)^H72</f>
        <v>240000</v>
      </c>
      <c r="I73" s="196">
        <f t="shared" ref="I73:AF73" si="12">$D$73*(1+$G$71)^I72</f>
        <v>240000</v>
      </c>
      <c r="J73" s="196">
        <f t="shared" si="12"/>
        <v>240000</v>
      </c>
      <c r="K73" s="196">
        <f t="shared" si="12"/>
        <v>240000</v>
      </c>
      <c r="L73" s="196">
        <f t="shared" si="12"/>
        <v>240000</v>
      </c>
      <c r="M73" s="196">
        <f t="shared" si="12"/>
        <v>240000</v>
      </c>
      <c r="N73" s="196">
        <f t="shared" si="12"/>
        <v>240000</v>
      </c>
      <c r="O73" s="196">
        <f t="shared" si="12"/>
        <v>240000</v>
      </c>
      <c r="P73" s="196">
        <f t="shared" si="12"/>
        <v>240000</v>
      </c>
      <c r="Q73" s="196">
        <f t="shared" si="12"/>
        <v>240000</v>
      </c>
      <c r="R73" s="196">
        <f t="shared" si="12"/>
        <v>240000</v>
      </c>
      <c r="S73" s="196">
        <f t="shared" si="12"/>
        <v>240000</v>
      </c>
      <c r="T73" s="196">
        <f t="shared" si="12"/>
        <v>240000</v>
      </c>
      <c r="U73" s="196">
        <f t="shared" si="12"/>
        <v>240000</v>
      </c>
      <c r="V73" s="196">
        <f t="shared" si="12"/>
        <v>240000</v>
      </c>
      <c r="W73" s="196">
        <f t="shared" si="12"/>
        <v>240000</v>
      </c>
      <c r="X73" s="196">
        <f t="shared" si="12"/>
        <v>240000</v>
      </c>
      <c r="Y73" s="196">
        <f t="shared" si="12"/>
        <v>240000</v>
      </c>
      <c r="Z73" s="196">
        <f t="shared" si="12"/>
        <v>240000</v>
      </c>
      <c r="AA73" s="196">
        <f t="shared" si="12"/>
        <v>240000</v>
      </c>
      <c r="AB73" s="196">
        <f t="shared" si="12"/>
        <v>240000</v>
      </c>
      <c r="AC73" s="196">
        <f t="shared" si="12"/>
        <v>240000</v>
      </c>
      <c r="AD73" s="196">
        <f t="shared" si="12"/>
        <v>240000</v>
      </c>
      <c r="AE73" s="196">
        <f t="shared" si="12"/>
        <v>240000</v>
      </c>
      <c r="AF73" s="196">
        <f t="shared" si="12"/>
        <v>240000</v>
      </c>
    </row>
    <row r="74" spans="2:32" s="32" customFormat="1" x14ac:dyDescent="0.25">
      <c r="B74" s="32" t="s">
        <v>18</v>
      </c>
      <c r="C74" s="194">
        <f t="shared" si="11"/>
        <v>0.375</v>
      </c>
      <c r="D74" s="190">
        <f t="shared" si="11"/>
        <v>37500</v>
      </c>
      <c r="H74" s="196">
        <f>$D$74*(1+$G$71)^H72</f>
        <v>37500</v>
      </c>
      <c r="I74" s="196">
        <f t="shared" ref="I74:AF74" si="13">$D$74*(1+$G$71)^I72</f>
        <v>37500</v>
      </c>
      <c r="J74" s="196">
        <f t="shared" si="13"/>
        <v>37500</v>
      </c>
      <c r="K74" s="196">
        <f t="shared" si="13"/>
        <v>37500</v>
      </c>
      <c r="L74" s="196">
        <f t="shared" si="13"/>
        <v>37500</v>
      </c>
      <c r="M74" s="196">
        <f t="shared" si="13"/>
        <v>37500</v>
      </c>
      <c r="N74" s="196">
        <f t="shared" si="13"/>
        <v>37500</v>
      </c>
      <c r="O74" s="196">
        <f t="shared" si="13"/>
        <v>37500</v>
      </c>
      <c r="P74" s="196">
        <f t="shared" si="13"/>
        <v>37500</v>
      </c>
      <c r="Q74" s="196">
        <f t="shared" si="13"/>
        <v>37500</v>
      </c>
      <c r="R74" s="196">
        <f t="shared" si="13"/>
        <v>37500</v>
      </c>
      <c r="S74" s="196">
        <f t="shared" si="13"/>
        <v>37500</v>
      </c>
      <c r="T74" s="196">
        <f t="shared" si="13"/>
        <v>37500</v>
      </c>
      <c r="U74" s="196">
        <f t="shared" si="13"/>
        <v>37500</v>
      </c>
      <c r="V74" s="196">
        <f t="shared" si="13"/>
        <v>37500</v>
      </c>
      <c r="W74" s="196">
        <f t="shared" si="13"/>
        <v>37500</v>
      </c>
      <c r="X74" s="196">
        <f t="shared" si="13"/>
        <v>37500</v>
      </c>
      <c r="Y74" s="196">
        <f t="shared" si="13"/>
        <v>37500</v>
      </c>
      <c r="Z74" s="196">
        <f t="shared" si="13"/>
        <v>37500</v>
      </c>
      <c r="AA74" s="196">
        <f t="shared" si="13"/>
        <v>37500</v>
      </c>
      <c r="AB74" s="196">
        <f t="shared" si="13"/>
        <v>37500</v>
      </c>
      <c r="AC74" s="196">
        <f t="shared" si="13"/>
        <v>37500</v>
      </c>
      <c r="AD74" s="196">
        <f t="shared" si="13"/>
        <v>37500</v>
      </c>
      <c r="AE74" s="196">
        <f t="shared" si="13"/>
        <v>37500</v>
      </c>
      <c r="AF74" s="196">
        <f t="shared" si="13"/>
        <v>37500</v>
      </c>
    </row>
    <row r="75" spans="2:32" s="32" customFormat="1" x14ac:dyDescent="0.25">
      <c r="B75" s="32" t="s">
        <v>19</v>
      </c>
      <c r="C75" s="194">
        <f t="shared" si="11"/>
        <v>0.75</v>
      </c>
      <c r="D75" s="190">
        <f t="shared" si="11"/>
        <v>75000</v>
      </c>
      <c r="H75" s="196">
        <f>$D$75*(1+$G$71)^H72</f>
        <v>75000</v>
      </c>
      <c r="I75" s="196">
        <f t="shared" ref="I75:AF75" si="14">$D$75*(1+$G$71)^I72</f>
        <v>75000</v>
      </c>
      <c r="J75" s="196">
        <f t="shared" si="14"/>
        <v>75000</v>
      </c>
      <c r="K75" s="196">
        <f t="shared" si="14"/>
        <v>75000</v>
      </c>
      <c r="L75" s="196">
        <f t="shared" si="14"/>
        <v>75000</v>
      </c>
      <c r="M75" s="196">
        <f t="shared" si="14"/>
        <v>75000</v>
      </c>
      <c r="N75" s="196">
        <f t="shared" si="14"/>
        <v>75000</v>
      </c>
      <c r="O75" s="196">
        <f t="shared" si="14"/>
        <v>75000</v>
      </c>
      <c r="P75" s="196">
        <f t="shared" si="14"/>
        <v>75000</v>
      </c>
      <c r="Q75" s="196">
        <f t="shared" si="14"/>
        <v>75000</v>
      </c>
      <c r="R75" s="196">
        <f t="shared" si="14"/>
        <v>75000</v>
      </c>
      <c r="S75" s="196">
        <f t="shared" si="14"/>
        <v>75000</v>
      </c>
      <c r="T75" s="196">
        <f t="shared" si="14"/>
        <v>75000</v>
      </c>
      <c r="U75" s="196">
        <f t="shared" si="14"/>
        <v>75000</v>
      </c>
      <c r="V75" s="196">
        <f t="shared" si="14"/>
        <v>75000</v>
      </c>
      <c r="W75" s="196">
        <f t="shared" si="14"/>
        <v>75000</v>
      </c>
      <c r="X75" s="196">
        <f t="shared" si="14"/>
        <v>75000</v>
      </c>
      <c r="Y75" s="196">
        <f t="shared" si="14"/>
        <v>75000</v>
      </c>
      <c r="Z75" s="196">
        <f t="shared" si="14"/>
        <v>75000</v>
      </c>
      <c r="AA75" s="196">
        <f t="shared" si="14"/>
        <v>75000</v>
      </c>
      <c r="AB75" s="196">
        <f t="shared" si="14"/>
        <v>75000</v>
      </c>
      <c r="AC75" s="196">
        <f t="shared" si="14"/>
        <v>75000</v>
      </c>
      <c r="AD75" s="196">
        <f t="shared" si="14"/>
        <v>75000</v>
      </c>
      <c r="AE75" s="196">
        <f t="shared" si="14"/>
        <v>75000</v>
      </c>
      <c r="AF75" s="196">
        <f t="shared" si="14"/>
        <v>75000</v>
      </c>
    </row>
    <row r="76" spans="2:32" s="32" customFormat="1" x14ac:dyDescent="0.25">
      <c r="B76" s="32" t="s">
        <v>20</v>
      </c>
      <c r="C76" s="194">
        <f t="shared" si="11"/>
        <v>0.375</v>
      </c>
      <c r="D76" s="190">
        <f t="shared" si="11"/>
        <v>37500</v>
      </c>
      <c r="H76" s="196">
        <f>$D$76*(1+$G$71)^H72</f>
        <v>37500</v>
      </c>
      <c r="I76" s="196">
        <f t="shared" ref="I76:AF76" si="15">$D$76*(1+$G$71)^I72</f>
        <v>37500</v>
      </c>
      <c r="J76" s="196">
        <f t="shared" si="15"/>
        <v>37500</v>
      </c>
      <c r="K76" s="196">
        <f t="shared" si="15"/>
        <v>37500</v>
      </c>
      <c r="L76" s="196">
        <f t="shared" si="15"/>
        <v>37500</v>
      </c>
      <c r="M76" s="196">
        <f t="shared" si="15"/>
        <v>37500</v>
      </c>
      <c r="N76" s="196">
        <f t="shared" si="15"/>
        <v>37500</v>
      </c>
      <c r="O76" s="196">
        <f t="shared" si="15"/>
        <v>37500</v>
      </c>
      <c r="P76" s="196">
        <f t="shared" si="15"/>
        <v>37500</v>
      </c>
      <c r="Q76" s="196">
        <f t="shared" si="15"/>
        <v>37500</v>
      </c>
      <c r="R76" s="196">
        <f t="shared" si="15"/>
        <v>37500</v>
      </c>
      <c r="S76" s="196">
        <f t="shared" si="15"/>
        <v>37500</v>
      </c>
      <c r="T76" s="196">
        <f t="shared" si="15"/>
        <v>37500</v>
      </c>
      <c r="U76" s="196">
        <f t="shared" si="15"/>
        <v>37500</v>
      </c>
      <c r="V76" s="196">
        <f t="shared" si="15"/>
        <v>37500</v>
      </c>
      <c r="W76" s="196">
        <f t="shared" si="15"/>
        <v>37500</v>
      </c>
      <c r="X76" s="196">
        <f t="shared" si="15"/>
        <v>37500</v>
      </c>
      <c r="Y76" s="196">
        <f t="shared" si="15"/>
        <v>37500</v>
      </c>
      <c r="Z76" s="196">
        <f t="shared" si="15"/>
        <v>37500</v>
      </c>
      <c r="AA76" s="196">
        <f t="shared" si="15"/>
        <v>37500</v>
      </c>
      <c r="AB76" s="196">
        <f t="shared" si="15"/>
        <v>37500</v>
      </c>
      <c r="AC76" s="196">
        <f t="shared" si="15"/>
        <v>37500</v>
      </c>
      <c r="AD76" s="196">
        <f t="shared" si="15"/>
        <v>37500</v>
      </c>
      <c r="AE76" s="196">
        <f t="shared" si="15"/>
        <v>37500</v>
      </c>
      <c r="AF76" s="196">
        <f t="shared" si="15"/>
        <v>37500</v>
      </c>
    </row>
    <row r="77" spans="2:32" s="32" customFormat="1" x14ac:dyDescent="0.25">
      <c r="B77" s="32" t="s">
        <v>21</v>
      </c>
      <c r="C77" s="194">
        <f t="shared" si="11"/>
        <v>7.5000000000000011E-2</v>
      </c>
      <c r="D77" s="190">
        <f t="shared" si="11"/>
        <v>7500</v>
      </c>
      <c r="H77" s="196">
        <f>$D$77*(1+$G$71)^H72</f>
        <v>7500</v>
      </c>
      <c r="I77" s="196">
        <f t="shared" ref="I77:AF77" si="16">$D$77*(1+$G$71)^I72</f>
        <v>7500</v>
      </c>
      <c r="J77" s="196">
        <f t="shared" si="16"/>
        <v>7500</v>
      </c>
      <c r="K77" s="196">
        <f t="shared" si="16"/>
        <v>7500</v>
      </c>
      <c r="L77" s="196">
        <f t="shared" si="16"/>
        <v>7500</v>
      </c>
      <c r="M77" s="196">
        <f t="shared" si="16"/>
        <v>7500</v>
      </c>
      <c r="N77" s="196">
        <f t="shared" si="16"/>
        <v>7500</v>
      </c>
      <c r="O77" s="196">
        <f t="shared" si="16"/>
        <v>7500</v>
      </c>
      <c r="P77" s="196">
        <f t="shared" si="16"/>
        <v>7500</v>
      </c>
      <c r="Q77" s="196">
        <f t="shared" si="16"/>
        <v>7500</v>
      </c>
      <c r="R77" s="196">
        <f t="shared" si="16"/>
        <v>7500</v>
      </c>
      <c r="S77" s="196">
        <f t="shared" si="16"/>
        <v>7500</v>
      </c>
      <c r="T77" s="196">
        <f t="shared" si="16"/>
        <v>7500</v>
      </c>
      <c r="U77" s="196">
        <f t="shared" si="16"/>
        <v>7500</v>
      </c>
      <c r="V77" s="196">
        <f t="shared" si="16"/>
        <v>7500</v>
      </c>
      <c r="W77" s="196">
        <f t="shared" si="16"/>
        <v>7500</v>
      </c>
      <c r="X77" s="196">
        <f t="shared" si="16"/>
        <v>7500</v>
      </c>
      <c r="Y77" s="196">
        <f t="shared" si="16"/>
        <v>7500</v>
      </c>
      <c r="Z77" s="196">
        <f t="shared" si="16"/>
        <v>7500</v>
      </c>
      <c r="AA77" s="196">
        <f t="shared" si="16"/>
        <v>7500</v>
      </c>
      <c r="AB77" s="196">
        <f t="shared" si="16"/>
        <v>7500</v>
      </c>
      <c r="AC77" s="196">
        <f t="shared" si="16"/>
        <v>7500</v>
      </c>
      <c r="AD77" s="196">
        <f t="shared" si="16"/>
        <v>7500</v>
      </c>
      <c r="AE77" s="196">
        <f t="shared" si="16"/>
        <v>7500</v>
      </c>
      <c r="AF77" s="196">
        <f t="shared" si="16"/>
        <v>7500</v>
      </c>
    </row>
    <row r="78" spans="2:32" s="32" customFormat="1" x14ac:dyDescent="0.25">
      <c r="B78" s="32" t="s">
        <v>24</v>
      </c>
      <c r="C78" s="194">
        <f t="shared" si="11"/>
        <v>0.375</v>
      </c>
      <c r="D78" s="190">
        <f t="shared" si="11"/>
        <v>37500</v>
      </c>
      <c r="H78" s="196">
        <f>$D$78*(1+$G$71)^H72</f>
        <v>37500</v>
      </c>
      <c r="I78" s="196">
        <f t="shared" ref="I78:AF78" si="17">$D$78*(1+$G$71)^I72</f>
        <v>37500</v>
      </c>
      <c r="J78" s="196">
        <f t="shared" si="17"/>
        <v>37500</v>
      </c>
      <c r="K78" s="196">
        <f t="shared" si="17"/>
        <v>37500</v>
      </c>
      <c r="L78" s="196">
        <f t="shared" si="17"/>
        <v>37500</v>
      </c>
      <c r="M78" s="196">
        <f t="shared" si="17"/>
        <v>37500</v>
      </c>
      <c r="N78" s="196">
        <f t="shared" si="17"/>
        <v>37500</v>
      </c>
      <c r="O78" s="196">
        <f t="shared" si="17"/>
        <v>37500</v>
      </c>
      <c r="P78" s="196">
        <f t="shared" si="17"/>
        <v>37500</v>
      </c>
      <c r="Q78" s="196">
        <f t="shared" si="17"/>
        <v>37500</v>
      </c>
      <c r="R78" s="196">
        <f t="shared" si="17"/>
        <v>37500</v>
      </c>
      <c r="S78" s="196">
        <f t="shared" si="17"/>
        <v>37500</v>
      </c>
      <c r="T78" s="196">
        <f t="shared" si="17"/>
        <v>37500</v>
      </c>
      <c r="U78" s="196">
        <f t="shared" si="17"/>
        <v>37500</v>
      </c>
      <c r="V78" s="196">
        <f t="shared" si="17"/>
        <v>37500</v>
      </c>
      <c r="W78" s="196">
        <f t="shared" si="17"/>
        <v>37500</v>
      </c>
      <c r="X78" s="196">
        <f t="shared" si="17"/>
        <v>37500</v>
      </c>
      <c r="Y78" s="196">
        <f t="shared" si="17"/>
        <v>37500</v>
      </c>
      <c r="Z78" s="196">
        <f t="shared" si="17"/>
        <v>37500</v>
      </c>
      <c r="AA78" s="196">
        <f t="shared" si="17"/>
        <v>37500</v>
      </c>
      <c r="AB78" s="196">
        <f t="shared" si="17"/>
        <v>37500</v>
      </c>
      <c r="AC78" s="196">
        <f t="shared" si="17"/>
        <v>37500</v>
      </c>
      <c r="AD78" s="196">
        <f t="shared" si="17"/>
        <v>37500</v>
      </c>
      <c r="AE78" s="196">
        <f t="shared" si="17"/>
        <v>37500</v>
      </c>
      <c r="AF78" s="196">
        <f t="shared" si="17"/>
        <v>37500</v>
      </c>
    </row>
    <row r="79" spans="2:32" s="32" customFormat="1" x14ac:dyDescent="0.25">
      <c r="B79" s="32" t="s">
        <v>23</v>
      </c>
      <c r="C79" s="194">
        <f t="shared" si="11"/>
        <v>0.1875</v>
      </c>
      <c r="D79" s="190">
        <f t="shared" si="11"/>
        <v>18750</v>
      </c>
      <c r="H79" s="196">
        <f>$D$79*(1+$G$71)^H72</f>
        <v>18750</v>
      </c>
      <c r="I79" s="196">
        <f t="shared" ref="I79:AF79" si="18">$D$79*(1+$G$71)^I72</f>
        <v>18750</v>
      </c>
      <c r="J79" s="196">
        <f t="shared" si="18"/>
        <v>18750</v>
      </c>
      <c r="K79" s="196">
        <f t="shared" si="18"/>
        <v>18750</v>
      </c>
      <c r="L79" s="196">
        <f t="shared" si="18"/>
        <v>18750</v>
      </c>
      <c r="M79" s="196">
        <f t="shared" si="18"/>
        <v>18750</v>
      </c>
      <c r="N79" s="196">
        <f t="shared" si="18"/>
        <v>18750</v>
      </c>
      <c r="O79" s="196">
        <f t="shared" si="18"/>
        <v>18750</v>
      </c>
      <c r="P79" s="196">
        <f t="shared" si="18"/>
        <v>18750</v>
      </c>
      <c r="Q79" s="196">
        <f t="shared" si="18"/>
        <v>18750</v>
      </c>
      <c r="R79" s="196">
        <f t="shared" si="18"/>
        <v>18750</v>
      </c>
      <c r="S79" s="196">
        <f t="shared" si="18"/>
        <v>18750</v>
      </c>
      <c r="T79" s="196">
        <f t="shared" si="18"/>
        <v>18750</v>
      </c>
      <c r="U79" s="196">
        <f t="shared" si="18"/>
        <v>18750</v>
      </c>
      <c r="V79" s="196">
        <f t="shared" si="18"/>
        <v>18750</v>
      </c>
      <c r="W79" s="196">
        <f t="shared" si="18"/>
        <v>18750</v>
      </c>
      <c r="X79" s="196">
        <f t="shared" si="18"/>
        <v>18750</v>
      </c>
      <c r="Y79" s="196">
        <f t="shared" si="18"/>
        <v>18750</v>
      </c>
      <c r="Z79" s="196">
        <f t="shared" si="18"/>
        <v>18750</v>
      </c>
      <c r="AA79" s="196">
        <f t="shared" si="18"/>
        <v>18750</v>
      </c>
      <c r="AB79" s="196">
        <f t="shared" si="18"/>
        <v>18750</v>
      </c>
      <c r="AC79" s="196">
        <f t="shared" si="18"/>
        <v>18750</v>
      </c>
      <c r="AD79" s="196">
        <f t="shared" si="18"/>
        <v>18750</v>
      </c>
      <c r="AE79" s="196">
        <f t="shared" si="18"/>
        <v>18750</v>
      </c>
      <c r="AF79" s="196">
        <f t="shared" si="18"/>
        <v>18750</v>
      </c>
    </row>
    <row r="80" spans="2:32" s="32" customFormat="1" x14ac:dyDescent="0.25">
      <c r="B80" s="51" t="s">
        <v>22</v>
      </c>
      <c r="C80" s="195">
        <f t="shared" si="11"/>
        <v>0.75</v>
      </c>
      <c r="D80" s="191">
        <f t="shared" si="11"/>
        <v>150000</v>
      </c>
      <c r="H80" s="197">
        <f>$D$80*(1+$G$71)^H72</f>
        <v>150000</v>
      </c>
      <c r="I80" s="197">
        <f t="shared" ref="I80:AF80" si="19">$D$80*(1+$G$71)^I72</f>
        <v>150000</v>
      </c>
      <c r="J80" s="197">
        <f t="shared" si="19"/>
        <v>150000</v>
      </c>
      <c r="K80" s="197">
        <f t="shared" si="19"/>
        <v>150000</v>
      </c>
      <c r="L80" s="197">
        <f t="shared" si="19"/>
        <v>150000</v>
      </c>
      <c r="M80" s="197">
        <f t="shared" si="19"/>
        <v>150000</v>
      </c>
      <c r="N80" s="197">
        <f t="shared" si="19"/>
        <v>150000</v>
      </c>
      <c r="O80" s="197">
        <f t="shared" si="19"/>
        <v>150000</v>
      </c>
      <c r="P80" s="197">
        <f t="shared" si="19"/>
        <v>150000</v>
      </c>
      <c r="Q80" s="197">
        <f t="shared" si="19"/>
        <v>150000</v>
      </c>
      <c r="R80" s="197">
        <f t="shared" si="19"/>
        <v>150000</v>
      </c>
      <c r="S80" s="197">
        <f t="shared" si="19"/>
        <v>150000</v>
      </c>
      <c r="T80" s="197">
        <f t="shared" si="19"/>
        <v>150000</v>
      </c>
      <c r="U80" s="197">
        <f t="shared" si="19"/>
        <v>150000</v>
      </c>
      <c r="V80" s="197">
        <f t="shared" si="19"/>
        <v>150000</v>
      </c>
      <c r="W80" s="197">
        <f t="shared" si="19"/>
        <v>150000</v>
      </c>
      <c r="X80" s="197">
        <f t="shared" si="19"/>
        <v>150000</v>
      </c>
      <c r="Y80" s="197">
        <f t="shared" si="19"/>
        <v>150000</v>
      </c>
      <c r="Z80" s="197">
        <f t="shared" si="19"/>
        <v>150000</v>
      </c>
      <c r="AA80" s="197">
        <f t="shared" si="19"/>
        <v>150000</v>
      </c>
      <c r="AB80" s="197">
        <f t="shared" si="19"/>
        <v>150000</v>
      </c>
      <c r="AC80" s="197">
        <f t="shared" si="19"/>
        <v>150000</v>
      </c>
      <c r="AD80" s="197">
        <f t="shared" si="19"/>
        <v>150000</v>
      </c>
      <c r="AE80" s="197">
        <f t="shared" si="19"/>
        <v>150000</v>
      </c>
      <c r="AF80" s="197">
        <f t="shared" si="19"/>
        <v>150000</v>
      </c>
    </row>
    <row r="81" spans="2:38" s="32" customFormat="1" x14ac:dyDescent="0.25">
      <c r="B81" s="32" t="s">
        <v>25</v>
      </c>
      <c r="C81" s="192">
        <f>SUM(C73:C80)</f>
        <v>5.1375000000000002</v>
      </c>
      <c r="D81" s="50">
        <f>SUM(D73:D80)</f>
        <v>603750</v>
      </c>
      <c r="H81" s="198">
        <f t="shared" ref="H81" si="20">SUM(H73:H80)</f>
        <v>603750</v>
      </c>
      <c r="I81" s="198">
        <f t="shared" ref="I81" si="21">SUM(I73:I80)</f>
        <v>603750</v>
      </c>
      <c r="J81" s="198">
        <f t="shared" ref="J81" si="22">SUM(J73:J80)</f>
        <v>603750</v>
      </c>
      <c r="K81" s="198">
        <f t="shared" ref="K81" si="23">SUM(K73:K80)</f>
        <v>603750</v>
      </c>
      <c r="L81" s="198">
        <f t="shared" ref="L81" si="24">SUM(L73:L80)</f>
        <v>603750</v>
      </c>
      <c r="M81" s="198">
        <f t="shared" ref="M81" si="25">SUM(M73:M80)</f>
        <v>603750</v>
      </c>
      <c r="N81" s="198">
        <f t="shared" ref="N81" si="26">SUM(N73:N80)</f>
        <v>603750</v>
      </c>
      <c r="O81" s="198">
        <f t="shared" ref="O81" si="27">SUM(O73:O80)</f>
        <v>603750</v>
      </c>
      <c r="P81" s="198">
        <f t="shared" ref="P81" si="28">SUM(P73:P80)</f>
        <v>603750</v>
      </c>
      <c r="Q81" s="198">
        <f t="shared" ref="Q81" si="29">SUM(Q73:Q80)</f>
        <v>603750</v>
      </c>
      <c r="R81" s="198">
        <f t="shared" ref="R81" si="30">SUM(R73:R80)</f>
        <v>603750</v>
      </c>
      <c r="S81" s="198">
        <f t="shared" ref="S81" si="31">SUM(S73:S80)</f>
        <v>603750</v>
      </c>
      <c r="T81" s="198">
        <f t="shared" ref="T81" si="32">SUM(T73:T80)</f>
        <v>603750</v>
      </c>
      <c r="U81" s="198">
        <f t="shared" ref="U81" si="33">SUM(U73:U80)</f>
        <v>603750</v>
      </c>
      <c r="V81" s="198">
        <f t="shared" ref="V81" si="34">SUM(V73:V80)</f>
        <v>603750</v>
      </c>
      <c r="W81" s="198">
        <f t="shared" ref="W81" si="35">SUM(W73:W80)</f>
        <v>603750</v>
      </c>
      <c r="X81" s="198">
        <f t="shared" ref="X81" si="36">SUM(X73:X80)</f>
        <v>603750</v>
      </c>
      <c r="Y81" s="198">
        <f t="shared" ref="Y81" si="37">SUM(Y73:Y80)</f>
        <v>603750</v>
      </c>
      <c r="Z81" s="198">
        <f t="shared" ref="Z81" si="38">SUM(Z73:Z80)</f>
        <v>603750</v>
      </c>
      <c r="AA81" s="198">
        <f t="shared" ref="AA81" si="39">SUM(AA73:AA80)</f>
        <v>603750</v>
      </c>
      <c r="AB81" s="198">
        <f t="shared" ref="AB81" si="40">SUM(AB73:AB80)</f>
        <v>603750</v>
      </c>
      <c r="AC81" s="198">
        <f t="shared" ref="AC81" si="41">SUM(AC73:AC80)</f>
        <v>603750</v>
      </c>
      <c r="AD81" s="198">
        <f t="shared" ref="AD81" si="42">SUM(AD73:AD80)</f>
        <v>603750</v>
      </c>
      <c r="AE81" s="198">
        <f t="shared" ref="AE81" si="43">SUM(AE73:AE80)</f>
        <v>603750</v>
      </c>
      <c r="AF81" s="198">
        <f t="shared" ref="AF81" si="44">SUM(AF73:AF80)</f>
        <v>603750</v>
      </c>
    </row>
    <row r="82" spans="2:38" s="32" customFormat="1" x14ac:dyDescent="0.25"/>
    <row r="83" spans="2:38" s="32" customFormat="1" x14ac:dyDescent="0.25">
      <c r="B83" s="32" t="s">
        <v>99</v>
      </c>
      <c r="C83" s="37">
        <v>0.06</v>
      </c>
      <c r="G83" s="199" t="s">
        <v>161</v>
      </c>
      <c r="H83" s="50">
        <f>-PV($C$83,H72,0,H81)</f>
        <v>425619.92629045458</v>
      </c>
      <c r="I83" s="50">
        <f t="shared" ref="I83:AF83" si="45">-PV($C$83,I72,0,I81)</f>
        <v>401528.23234948539</v>
      </c>
      <c r="J83" s="50">
        <f t="shared" si="45"/>
        <v>378800.21919762774</v>
      </c>
      <c r="K83" s="50">
        <f t="shared" si="45"/>
        <v>357358.69735625258</v>
      </c>
      <c r="L83" s="50">
        <f t="shared" si="45"/>
        <v>337130.84656250244</v>
      </c>
      <c r="M83" s="50">
        <f t="shared" si="45"/>
        <v>318047.96845519089</v>
      </c>
      <c r="N83" s="50">
        <f t="shared" si="45"/>
        <v>300045.25325961405</v>
      </c>
      <c r="O83" s="50">
        <f t="shared" si="45"/>
        <v>283061.55967888114</v>
      </c>
      <c r="P83" s="50">
        <f t="shared" si="45"/>
        <v>267039.20724422752</v>
      </c>
      <c r="Q83" s="50">
        <f t="shared" si="45"/>
        <v>251923.7804190825</v>
      </c>
      <c r="R83" s="50">
        <f t="shared" si="45"/>
        <v>237663.94379158731</v>
      </c>
      <c r="S83" s="50">
        <f t="shared" si="45"/>
        <v>224211.26772791255</v>
      </c>
      <c r="T83" s="50">
        <f t="shared" si="45"/>
        <v>211520.06389425712</v>
      </c>
      <c r="U83" s="50">
        <f t="shared" si="45"/>
        <v>199547.23008892179</v>
      </c>
      <c r="V83" s="50">
        <f t="shared" si="45"/>
        <v>188252.10385747338</v>
      </c>
      <c r="W83" s="50">
        <f t="shared" si="45"/>
        <v>177596.32439384278</v>
      </c>
      <c r="X83" s="50">
        <f t="shared" si="45"/>
        <v>167543.70225834224</v>
      </c>
      <c r="Y83" s="50">
        <f t="shared" si="45"/>
        <v>158060.09647013416</v>
      </c>
      <c r="Z83" s="50">
        <f t="shared" si="45"/>
        <v>149113.29855673035</v>
      </c>
      <c r="AA83" s="50">
        <f t="shared" si="45"/>
        <v>140672.92316672677</v>
      </c>
      <c r="AB83" s="50">
        <f t="shared" si="45"/>
        <v>132710.30487427051</v>
      </c>
      <c r="AC83" s="50">
        <f t="shared" si="45"/>
        <v>125198.40082478349</v>
      </c>
      <c r="AD83" s="50">
        <f t="shared" si="45"/>
        <v>118111.69889130518</v>
      </c>
      <c r="AE83" s="50">
        <f t="shared" si="45"/>
        <v>111426.13102953318</v>
      </c>
      <c r="AF83" s="50">
        <f t="shared" si="45"/>
        <v>105118.99153729544</v>
      </c>
    </row>
    <row r="84" spans="2:38" s="32" customFormat="1" x14ac:dyDescent="0.25">
      <c r="C84" s="48"/>
      <c r="H84" s="50"/>
      <c r="I84" s="50"/>
      <c r="J84" s="50"/>
      <c r="K84" s="50"/>
    </row>
    <row r="85" spans="2:38" s="32" customFormat="1" x14ac:dyDescent="0.25">
      <c r="B85" s="306" t="s">
        <v>161</v>
      </c>
      <c r="C85" s="48"/>
      <c r="D85" s="307">
        <f>SUM(H83:AF83)</f>
        <v>5767302.1721764328</v>
      </c>
      <c r="H85" s="50"/>
      <c r="I85" s="50"/>
      <c r="J85" s="50"/>
      <c r="K85" s="50"/>
    </row>
    <row r="86" spans="2:38" s="32" customFormat="1" x14ac:dyDescent="0.25"/>
    <row r="87" spans="2:38" s="32" customFormat="1" x14ac:dyDescent="0.25">
      <c r="B87" s="32" t="s">
        <v>95</v>
      </c>
      <c r="C87" s="32">
        <v>1.5</v>
      </c>
      <c r="D87" s="36">
        <f>C87*D85</f>
        <v>8650953.2582646497</v>
      </c>
      <c r="G87" s="52"/>
    </row>
    <row r="88" spans="2:38" s="32" customFormat="1" x14ac:dyDescent="0.25">
      <c r="B88" s="32" t="s">
        <v>96</v>
      </c>
      <c r="C88" s="32">
        <v>0.5</v>
      </c>
      <c r="D88" s="36">
        <f>C88*D85</f>
        <v>2883651.0860882164</v>
      </c>
      <c r="G88" s="52"/>
    </row>
    <row r="91" spans="2:38" s="66" customFormat="1" x14ac:dyDescent="0.25">
      <c r="C91" s="67" t="s">
        <v>138</v>
      </c>
    </row>
    <row r="92" spans="2:38" s="66" customFormat="1" x14ac:dyDescent="0.25">
      <c r="B92" s="68" t="s">
        <v>61</v>
      </c>
      <c r="H92" s="68" t="s">
        <v>167</v>
      </c>
      <c r="K92" s="207" t="s">
        <v>97</v>
      </c>
      <c r="L92" s="189"/>
    </row>
    <row r="93" spans="2:38" s="66" customFormat="1" x14ac:dyDescent="0.25">
      <c r="H93" s="69" t="s">
        <v>166</v>
      </c>
      <c r="I93" s="311"/>
      <c r="J93" s="206">
        <v>2</v>
      </c>
      <c r="K93" s="206">
        <v>3</v>
      </c>
      <c r="L93" s="206">
        <v>4</v>
      </c>
      <c r="M93" s="206">
        <v>5</v>
      </c>
      <c r="N93" s="206">
        <v>6</v>
      </c>
      <c r="O93" s="206">
        <v>7</v>
      </c>
      <c r="P93" s="206">
        <v>8</v>
      </c>
      <c r="Q93" s="206">
        <v>9</v>
      </c>
      <c r="R93" s="206">
        <v>10</v>
      </c>
      <c r="S93" s="206">
        <v>11</v>
      </c>
      <c r="T93" s="206">
        <v>12</v>
      </c>
      <c r="U93" s="206">
        <v>13</v>
      </c>
      <c r="V93" s="206">
        <v>14</v>
      </c>
      <c r="W93" s="206">
        <v>15</v>
      </c>
      <c r="X93" s="206">
        <v>16</v>
      </c>
      <c r="Y93" s="206">
        <v>17</v>
      </c>
      <c r="Z93" s="206">
        <v>18</v>
      </c>
      <c r="AA93" s="206">
        <v>19</v>
      </c>
      <c r="AB93" s="206">
        <v>20</v>
      </c>
      <c r="AC93" s="206">
        <v>21</v>
      </c>
      <c r="AD93" s="206">
        <v>22</v>
      </c>
      <c r="AE93" s="206">
        <v>23</v>
      </c>
      <c r="AF93" s="206">
        <v>24</v>
      </c>
      <c r="AG93" s="206">
        <v>25</v>
      </c>
      <c r="AH93" s="206">
        <v>26</v>
      </c>
      <c r="AI93" s="206">
        <v>27</v>
      </c>
      <c r="AJ93" s="206">
        <v>28</v>
      </c>
      <c r="AK93" s="206">
        <v>29</v>
      </c>
      <c r="AL93" s="206">
        <v>30</v>
      </c>
    </row>
    <row r="94" spans="2:38" s="66" customFormat="1" x14ac:dyDescent="0.25">
      <c r="B94" s="70"/>
      <c r="C94" s="206" t="s">
        <v>15</v>
      </c>
      <c r="D94" s="206" t="s">
        <v>120</v>
      </c>
      <c r="E94" s="207" t="s">
        <v>84</v>
      </c>
      <c r="F94" s="69"/>
      <c r="G94" s="208" t="s">
        <v>15</v>
      </c>
      <c r="H94" s="206" t="s">
        <v>120</v>
      </c>
      <c r="I94" s="207" t="s">
        <v>84</v>
      </c>
    </row>
    <row r="95" spans="2:38" s="66" customFormat="1" x14ac:dyDescent="0.25">
      <c r="B95" s="66" t="s">
        <v>17</v>
      </c>
      <c r="C95" s="177">
        <v>0.2</v>
      </c>
      <c r="D95" s="183">
        <f>((1/5)*140000)+((4/5)*100000)</f>
        <v>108000</v>
      </c>
      <c r="E95" s="185">
        <f>C95*D95</f>
        <v>21600</v>
      </c>
      <c r="F95" s="72"/>
      <c r="G95" s="177">
        <v>0.05</v>
      </c>
      <c r="H95" s="179">
        <f>((1/6)*140000)+((5/6)*100000)</f>
        <v>106666.66666666667</v>
      </c>
      <c r="I95" s="181">
        <f>G95*H95</f>
        <v>5333.3333333333339</v>
      </c>
      <c r="J95" s="181">
        <f t="shared" ref="J95:AL95" si="46">$I$95*(1+$I$110)^J93</f>
        <v>5333.3333333333339</v>
      </c>
      <c r="K95" s="181">
        <f t="shared" si="46"/>
        <v>5333.3333333333339</v>
      </c>
      <c r="L95" s="181">
        <f t="shared" si="46"/>
        <v>5333.3333333333339</v>
      </c>
      <c r="M95" s="181">
        <f t="shared" si="46"/>
        <v>5333.3333333333339</v>
      </c>
      <c r="N95" s="181">
        <f t="shared" si="46"/>
        <v>5333.3333333333339</v>
      </c>
      <c r="O95" s="181">
        <f t="shared" si="46"/>
        <v>5333.3333333333339</v>
      </c>
      <c r="P95" s="181">
        <f t="shared" si="46"/>
        <v>5333.3333333333339</v>
      </c>
      <c r="Q95" s="181">
        <f t="shared" si="46"/>
        <v>5333.3333333333339</v>
      </c>
      <c r="R95" s="181">
        <f t="shared" si="46"/>
        <v>5333.3333333333339</v>
      </c>
      <c r="S95" s="181">
        <f t="shared" si="46"/>
        <v>5333.3333333333339</v>
      </c>
      <c r="T95" s="181">
        <f t="shared" si="46"/>
        <v>5333.3333333333339</v>
      </c>
      <c r="U95" s="181">
        <f t="shared" si="46"/>
        <v>5333.3333333333339</v>
      </c>
      <c r="V95" s="181">
        <f t="shared" si="46"/>
        <v>5333.3333333333339</v>
      </c>
      <c r="W95" s="181">
        <f t="shared" si="46"/>
        <v>5333.3333333333339</v>
      </c>
      <c r="X95" s="181">
        <f t="shared" si="46"/>
        <v>5333.3333333333339</v>
      </c>
      <c r="Y95" s="181">
        <f t="shared" si="46"/>
        <v>5333.3333333333339</v>
      </c>
      <c r="Z95" s="181">
        <f t="shared" si="46"/>
        <v>5333.3333333333339</v>
      </c>
      <c r="AA95" s="181">
        <f t="shared" si="46"/>
        <v>5333.3333333333339</v>
      </c>
      <c r="AB95" s="181">
        <f t="shared" si="46"/>
        <v>5333.3333333333339</v>
      </c>
      <c r="AC95" s="181">
        <f t="shared" si="46"/>
        <v>5333.3333333333339</v>
      </c>
      <c r="AD95" s="181">
        <f t="shared" si="46"/>
        <v>5333.3333333333339</v>
      </c>
      <c r="AE95" s="181">
        <f t="shared" si="46"/>
        <v>5333.3333333333339</v>
      </c>
      <c r="AF95" s="181">
        <f t="shared" si="46"/>
        <v>5333.3333333333339</v>
      </c>
      <c r="AG95" s="181">
        <f t="shared" si="46"/>
        <v>5333.3333333333339</v>
      </c>
      <c r="AH95" s="181">
        <f t="shared" si="46"/>
        <v>5333.3333333333339</v>
      </c>
      <c r="AI95" s="181">
        <f t="shared" si="46"/>
        <v>5333.3333333333339</v>
      </c>
      <c r="AJ95" s="181">
        <f t="shared" si="46"/>
        <v>5333.3333333333339</v>
      </c>
      <c r="AK95" s="181">
        <f t="shared" si="46"/>
        <v>5333.3333333333339</v>
      </c>
      <c r="AL95" s="181">
        <f t="shared" si="46"/>
        <v>5333.3333333333339</v>
      </c>
    </row>
    <row r="96" spans="2:38" s="66" customFormat="1" x14ac:dyDescent="0.25">
      <c r="B96" s="66" t="s">
        <v>18</v>
      </c>
      <c r="C96" s="177">
        <v>0.1</v>
      </c>
      <c r="D96" s="183">
        <f>((1/2)*140000)+((1/2)*100000)</f>
        <v>120000</v>
      </c>
      <c r="E96" s="185">
        <f t="shared" ref="E96:E102" si="47">C96*D96</f>
        <v>12000</v>
      </c>
      <c r="F96" s="72"/>
      <c r="G96" s="187">
        <v>7.4999999999999997E-2</v>
      </c>
      <c r="H96" s="179">
        <v>100000</v>
      </c>
      <c r="I96" s="181">
        <f t="shared" ref="I96:I102" si="48">G96*H96</f>
        <v>7500</v>
      </c>
      <c r="J96" s="181">
        <f t="shared" ref="J96:AL96" si="49">$I$96*(1+$I$110)^J93</f>
        <v>7500</v>
      </c>
      <c r="K96" s="181">
        <f t="shared" si="49"/>
        <v>7500</v>
      </c>
      <c r="L96" s="181">
        <f t="shared" si="49"/>
        <v>7500</v>
      </c>
      <c r="M96" s="181">
        <f t="shared" si="49"/>
        <v>7500</v>
      </c>
      <c r="N96" s="181">
        <f t="shared" si="49"/>
        <v>7500</v>
      </c>
      <c r="O96" s="181">
        <f t="shared" si="49"/>
        <v>7500</v>
      </c>
      <c r="P96" s="181">
        <f t="shared" si="49"/>
        <v>7500</v>
      </c>
      <c r="Q96" s="181">
        <f t="shared" si="49"/>
        <v>7500</v>
      </c>
      <c r="R96" s="181">
        <f t="shared" si="49"/>
        <v>7500</v>
      </c>
      <c r="S96" s="181">
        <f t="shared" si="49"/>
        <v>7500</v>
      </c>
      <c r="T96" s="181">
        <f t="shared" si="49"/>
        <v>7500</v>
      </c>
      <c r="U96" s="181">
        <f t="shared" si="49"/>
        <v>7500</v>
      </c>
      <c r="V96" s="181">
        <f t="shared" si="49"/>
        <v>7500</v>
      </c>
      <c r="W96" s="181">
        <f t="shared" si="49"/>
        <v>7500</v>
      </c>
      <c r="X96" s="181">
        <f t="shared" si="49"/>
        <v>7500</v>
      </c>
      <c r="Y96" s="181">
        <f t="shared" si="49"/>
        <v>7500</v>
      </c>
      <c r="Z96" s="181">
        <f t="shared" si="49"/>
        <v>7500</v>
      </c>
      <c r="AA96" s="181">
        <f t="shared" si="49"/>
        <v>7500</v>
      </c>
      <c r="AB96" s="181">
        <f t="shared" si="49"/>
        <v>7500</v>
      </c>
      <c r="AC96" s="181">
        <f t="shared" si="49"/>
        <v>7500</v>
      </c>
      <c r="AD96" s="181">
        <f t="shared" si="49"/>
        <v>7500</v>
      </c>
      <c r="AE96" s="181">
        <f t="shared" si="49"/>
        <v>7500</v>
      </c>
      <c r="AF96" s="181">
        <f t="shared" si="49"/>
        <v>7500</v>
      </c>
      <c r="AG96" s="181">
        <f t="shared" si="49"/>
        <v>7500</v>
      </c>
      <c r="AH96" s="181">
        <f t="shared" si="49"/>
        <v>7500</v>
      </c>
      <c r="AI96" s="181">
        <f t="shared" si="49"/>
        <v>7500</v>
      </c>
      <c r="AJ96" s="181">
        <f t="shared" si="49"/>
        <v>7500</v>
      </c>
      <c r="AK96" s="181">
        <f t="shared" si="49"/>
        <v>7500</v>
      </c>
      <c r="AL96" s="181">
        <f t="shared" si="49"/>
        <v>7500</v>
      </c>
    </row>
    <row r="97" spans="1:38" s="66" customFormat="1" x14ac:dyDescent="0.25">
      <c r="B97" s="66" t="s">
        <v>19</v>
      </c>
      <c r="C97" s="177">
        <v>0</v>
      </c>
      <c r="D97" s="183">
        <v>100000</v>
      </c>
      <c r="E97" s="185">
        <f t="shared" si="47"/>
        <v>0</v>
      </c>
      <c r="F97" s="72"/>
      <c r="G97" s="177">
        <v>0</v>
      </c>
      <c r="H97" s="179">
        <v>100000</v>
      </c>
      <c r="I97" s="181">
        <f t="shared" si="48"/>
        <v>0</v>
      </c>
      <c r="J97" s="181">
        <f t="shared" ref="J97:AL97" si="50">$I$97*(1+$I$110)^J93</f>
        <v>0</v>
      </c>
      <c r="K97" s="181">
        <f t="shared" si="50"/>
        <v>0</v>
      </c>
      <c r="L97" s="181">
        <f t="shared" si="50"/>
        <v>0</v>
      </c>
      <c r="M97" s="181">
        <f t="shared" si="50"/>
        <v>0</v>
      </c>
      <c r="N97" s="181">
        <f t="shared" si="50"/>
        <v>0</v>
      </c>
      <c r="O97" s="181">
        <f t="shared" si="50"/>
        <v>0</v>
      </c>
      <c r="P97" s="181">
        <f t="shared" si="50"/>
        <v>0</v>
      </c>
      <c r="Q97" s="181">
        <f t="shared" si="50"/>
        <v>0</v>
      </c>
      <c r="R97" s="181">
        <f t="shared" si="50"/>
        <v>0</v>
      </c>
      <c r="S97" s="181">
        <f t="shared" si="50"/>
        <v>0</v>
      </c>
      <c r="T97" s="181">
        <f t="shared" si="50"/>
        <v>0</v>
      </c>
      <c r="U97" s="181">
        <f t="shared" si="50"/>
        <v>0</v>
      </c>
      <c r="V97" s="181">
        <f t="shared" si="50"/>
        <v>0</v>
      </c>
      <c r="W97" s="181">
        <f t="shared" si="50"/>
        <v>0</v>
      </c>
      <c r="X97" s="181">
        <f t="shared" si="50"/>
        <v>0</v>
      </c>
      <c r="Y97" s="181">
        <f t="shared" si="50"/>
        <v>0</v>
      </c>
      <c r="Z97" s="181">
        <f t="shared" si="50"/>
        <v>0</v>
      </c>
      <c r="AA97" s="181">
        <f t="shared" si="50"/>
        <v>0</v>
      </c>
      <c r="AB97" s="181">
        <f t="shared" si="50"/>
        <v>0</v>
      </c>
      <c r="AC97" s="181">
        <f t="shared" si="50"/>
        <v>0</v>
      </c>
      <c r="AD97" s="181">
        <f t="shared" si="50"/>
        <v>0</v>
      </c>
      <c r="AE97" s="181">
        <f t="shared" si="50"/>
        <v>0</v>
      </c>
      <c r="AF97" s="181">
        <f t="shared" si="50"/>
        <v>0</v>
      </c>
      <c r="AG97" s="181">
        <f t="shared" si="50"/>
        <v>0</v>
      </c>
      <c r="AH97" s="181">
        <f t="shared" si="50"/>
        <v>0</v>
      </c>
      <c r="AI97" s="181">
        <f t="shared" si="50"/>
        <v>0</v>
      </c>
      <c r="AJ97" s="181">
        <f t="shared" si="50"/>
        <v>0</v>
      </c>
      <c r="AK97" s="181">
        <f t="shared" si="50"/>
        <v>0</v>
      </c>
      <c r="AL97" s="181">
        <f t="shared" si="50"/>
        <v>0</v>
      </c>
    </row>
    <row r="98" spans="1:38" s="66" customFormat="1" x14ac:dyDescent="0.25">
      <c r="B98" s="66" t="s">
        <v>20</v>
      </c>
      <c r="C98" s="177">
        <v>0.2</v>
      </c>
      <c r="D98" s="183">
        <f>((1/5)*140000)+((4/5)*100000)</f>
        <v>108000</v>
      </c>
      <c r="E98" s="185">
        <f t="shared" si="47"/>
        <v>21600</v>
      </c>
      <c r="F98" s="72"/>
      <c r="G98" s="187">
        <v>7.4999999999999997E-2</v>
      </c>
      <c r="H98" s="179">
        <v>100000</v>
      </c>
      <c r="I98" s="181">
        <f t="shared" si="48"/>
        <v>7500</v>
      </c>
      <c r="J98" s="181">
        <f t="shared" ref="J98:AL98" si="51">$I$98*(1+$I$110)^J93</f>
        <v>7500</v>
      </c>
      <c r="K98" s="181">
        <f t="shared" si="51"/>
        <v>7500</v>
      </c>
      <c r="L98" s="181">
        <f t="shared" si="51"/>
        <v>7500</v>
      </c>
      <c r="M98" s="181">
        <f t="shared" si="51"/>
        <v>7500</v>
      </c>
      <c r="N98" s="181">
        <f t="shared" si="51"/>
        <v>7500</v>
      </c>
      <c r="O98" s="181">
        <f t="shared" si="51"/>
        <v>7500</v>
      </c>
      <c r="P98" s="181">
        <f t="shared" si="51"/>
        <v>7500</v>
      </c>
      <c r="Q98" s="181">
        <f t="shared" si="51"/>
        <v>7500</v>
      </c>
      <c r="R98" s="181">
        <f t="shared" si="51"/>
        <v>7500</v>
      </c>
      <c r="S98" s="181">
        <f t="shared" si="51"/>
        <v>7500</v>
      </c>
      <c r="T98" s="181">
        <f t="shared" si="51"/>
        <v>7500</v>
      </c>
      <c r="U98" s="181">
        <f t="shared" si="51"/>
        <v>7500</v>
      </c>
      <c r="V98" s="181">
        <f t="shared" si="51"/>
        <v>7500</v>
      </c>
      <c r="W98" s="181">
        <f t="shared" si="51"/>
        <v>7500</v>
      </c>
      <c r="X98" s="181">
        <f t="shared" si="51"/>
        <v>7500</v>
      </c>
      <c r="Y98" s="181">
        <f t="shared" si="51"/>
        <v>7500</v>
      </c>
      <c r="Z98" s="181">
        <f t="shared" si="51"/>
        <v>7500</v>
      </c>
      <c r="AA98" s="181">
        <f t="shared" si="51"/>
        <v>7500</v>
      </c>
      <c r="AB98" s="181">
        <f t="shared" si="51"/>
        <v>7500</v>
      </c>
      <c r="AC98" s="181">
        <f t="shared" si="51"/>
        <v>7500</v>
      </c>
      <c r="AD98" s="181">
        <f t="shared" si="51"/>
        <v>7500</v>
      </c>
      <c r="AE98" s="181">
        <f t="shared" si="51"/>
        <v>7500</v>
      </c>
      <c r="AF98" s="181">
        <f t="shared" si="51"/>
        <v>7500</v>
      </c>
      <c r="AG98" s="181">
        <f t="shared" si="51"/>
        <v>7500</v>
      </c>
      <c r="AH98" s="181">
        <f t="shared" si="51"/>
        <v>7500</v>
      </c>
      <c r="AI98" s="181">
        <f t="shared" si="51"/>
        <v>7500</v>
      </c>
      <c r="AJ98" s="181">
        <f t="shared" si="51"/>
        <v>7500</v>
      </c>
      <c r="AK98" s="181">
        <f t="shared" si="51"/>
        <v>7500</v>
      </c>
      <c r="AL98" s="181">
        <f t="shared" si="51"/>
        <v>7500</v>
      </c>
    </row>
    <row r="99" spans="1:38" s="66" customFormat="1" x14ac:dyDescent="0.25">
      <c r="B99" s="66" t="s">
        <v>21</v>
      </c>
      <c r="C99" s="177">
        <v>0</v>
      </c>
      <c r="D99" s="183">
        <v>100000</v>
      </c>
      <c r="E99" s="185">
        <f t="shared" si="47"/>
        <v>0</v>
      </c>
      <c r="F99" s="72"/>
      <c r="G99" s="177">
        <v>0</v>
      </c>
      <c r="H99" s="179">
        <v>100000</v>
      </c>
      <c r="I99" s="181">
        <f t="shared" si="48"/>
        <v>0</v>
      </c>
      <c r="J99" s="181">
        <f t="shared" ref="J99:AL99" si="52">$I$99*(1+$I$110)^J93</f>
        <v>0</v>
      </c>
      <c r="K99" s="181">
        <f t="shared" si="52"/>
        <v>0</v>
      </c>
      <c r="L99" s="181">
        <f t="shared" si="52"/>
        <v>0</v>
      </c>
      <c r="M99" s="181">
        <f t="shared" si="52"/>
        <v>0</v>
      </c>
      <c r="N99" s="181">
        <f t="shared" si="52"/>
        <v>0</v>
      </c>
      <c r="O99" s="181">
        <f t="shared" si="52"/>
        <v>0</v>
      </c>
      <c r="P99" s="181">
        <f t="shared" si="52"/>
        <v>0</v>
      </c>
      <c r="Q99" s="181">
        <f t="shared" si="52"/>
        <v>0</v>
      </c>
      <c r="R99" s="181">
        <f t="shared" si="52"/>
        <v>0</v>
      </c>
      <c r="S99" s="181">
        <f t="shared" si="52"/>
        <v>0</v>
      </c>
      <c r="T99" s="181">
        <f t="shared" si="52"/>
        <v>0</v>
      </c>
      <c r="U99" s="181">
        <f t="shared" si="52"/>
        <v>0</v>
      </c>
      <c r="V99" s="181">
        <f t="shared" si="52"/>
        <v>0</v>
      </c>
      <c r="W99" s="181">
        <f t="shared" si="52"/>
        <v>0</v>
      </c>
      <c r="X99" s="181">
        <f t="shared" si="52"/>
        <v>0</v>
      </c>
      <c r="Y99" s="181">
        <f t="shared" si="52"/>
        <v>0</v>
      </c>
      <c r="Z99" s="181">
        <f t="shared" si="52"/>
        <v>0</v>
      </c>
      <c r="AA99" s="181">
        <f t="shared" si="52"/>
        <v>0</v>
      </c>
      <c r="AB99" s="181">
        <f t="shared" si="52"/>
        <v>0</v>
      </c>
      <c r="AC99" s="181">
        <f t="shared" si="52"/>
        <v>0</v>
      </c>
      <c r="AD99" s="181">
        <f t="shared" si="52"/>
        <v>0</v>
      </c>
      <c r="AE99" s="181">
        <f t="shared" si="52"/>
        <v>0</v>
      </c>
      <c r="AF99" s="181">
        <f t="shared" si="52"/>
        <v>0</v>
      </c>
      <c r="AG99" s="181">
        <f t="shared" si="52"/>
        <v>0</v>
      </c>
      <c r="AH99" s="181">
        <f t="shared" si="52"/>
        <v>0</v>
      </c>
      <c r="AI99" s="181">
        <f t="shared" si="52"/>
        <v>0</v>
      </c>
      <c r="AJ99" s="181">
        <f t="shared" si="52"/>
        <v>0</v>
      </c>
      <c r="AK99" s="181">
        <f t="shared" si="52"/>
        <v>0</v>
      </c>
      <c r="AL99" s="181">
        <f t="shared" si="52"/>
        <v>0</v>
      </c>
    </row>
    <row r="100" spans="1:38" s="66" customFormat="1" x14ac:dyDescent="0.25">
      <c r="B100" s="66" t="s">
        <v>24</v>
      </c>
      <c r="C100" s="177">
        <v>0</v>
      </c>
      <c r="D100" s="183">
        <v>100000</v>
      </c>
      <c r="E100" s="185">
        <f t="shared" si="47"/>
        <v>0</v>
      </c>
      <c r="F100" s="72"/>
      <c r="G100" s="177">
        <v>0</v>
      </c>
      <c r="H100" s="179">
        <v>100000</v>
      </c>
      <c r="I100" s="181">
        <f t="shared" si="48"/>
        <v>0</v>
      </c>
      <c r="J100" s="181">
        <f t="shared" ref="J100:AL100" si="53">$I$100*(1+$I$110)^J93</f>
        <v>0</v>
      </c>
      <c r="K100" s="181">
        <f t="shared" si="53"/>
        <v>0</v>
      </c>
      <c r="L100" s="181">
        <f t="shared" si="53"/>
        <v>0</v>
      </c>
      <c r="M100" s="181">
        <f t="shared" si="53"/>
        <v>0</v>
      </c>
      <c r="N100" s="181">
        <f t="shared" si="53"/>
        <v>0</v>
      </c>
      <c r="O100" s="181">
        <f t="shared" si="53"/>
        <v>0</v>
      </c>
      <c r="P100" s="181">
        <f t="shared" si="53"/>
        <v>0</v>
      </c>
      <c r="Q100" s="181">
        <f t="shared" si="53"/>
        <v>0</v>
      </c>
      <c r="R100" s="181">
        <f t="shared" si="53"/>
        <v>0</v>
      </c>
      <c r="S100" s="181">
        <f t="shared" si="53"/>
        <v>0</v>
      </c>
      <c r="T100" s="181">
        <f t="shared" si="53"/>
        <v>0</v>
      </c>
      <c r="U100" s="181">
        <f t="shared" si="53"/>
        <v>0</v>
      </c>
      <c r="V100" s="181">
        <f t="shared" si="53"/>
        <v>0</v>
      </c>
      <c r="W100" s="181">
        <f t="shared" si="53"/>
        <v>0</v>
      </c>
      <c r="X100" s="181">
        <f t="shared" si="53"/>
        <v>0</v>
      </c>
      <c r="Y100" s="181">
        <f t="shared" si="53"/>
        <v>0</v>
      </c>
      <c r="Z100" s="181">
        <f t="shared" si="53"/>
        <v>0</v>
      </c>
      <c r="AA100" s="181">
        <f t="shared" si="53"/>
        <v>0</v>
      </c>
      <c r="AB100" s="181">
        <f t="shared" si="53"/>
        <v>0</v>
      </c>
      <c r="AC100" s="181">
        <f t="shared" si="53"/>
        <v>0</v>
      </c>
      <c r="AD100" s="181">
        <f t="shared" si="53"/>
        <v>0</v>
      </c>
      <c r="AE100" s="181">
        <f t="shared" si="53"/>
        <v>0</v>
      </c>
      <c r="AF100" s="181">
        <f t="shared" si="53"/>
        <v>0</v>
      </c>
      <c r="AG100" s="181">
        <f t="shared" si="53"/>
        <v>0</v>
      </c>
      <c r="AH100" s="181">
        <f t="shared" si="53"/>
        <v>0</v>
      </c>
      <c r="AI100" s="181">
        <f t="shared" si="53"/>
        <v>0</v>
      </c>
      <c r="AJ100" s="181">
        <f t="shared" si="53"/>
        <v>0</v>
      </c>
      <c r="AK100" s="181">
        <f t="shared" si="53"/>
        <v>0</v>
      </c>
      <c r="AL100" s="181">
        <f t="shared" si="53"/>
        <v>0</v>
      </c>
    </row>
    <row r="101" spans="1:38" s="66" customFormat="1" x14ac:dyDescent="0.25">
      <c r="B101" s="66" t="s">
        <v>23</v>
      </c>
      <c r="C101" s="177">
        <v>0</v>
      </c>
      <c r="D101" s="183">
        <v>100000</v>
      </c>
      <c r="E101" s="185">
        <f t="shared" si="47"/>
        <v>0</v>
      </c>
      <c r="F101" s="72"/>
      <c r="G101" s="177">
        <v>0</v>
      </c>
      <c r="H101" s="179">
        <v>100000</v>
      </c>
      <c r="I101" s="181">
        <f t="shared" si="48"/>
        <v>0</v>
      </c>
      <c r="J101" s="181">
        <f t="shared" ref="J101:AL101" si="54">$I$101*(1+$I$110)^J93</f>
        <v>0</v>
      </c>
      <c r="K101" s="181">
        <f t="shared" si="54"/>
        <v>0</v>
      </c>
      <c r="L101" s="181">
        <f t="shared" si="54"/>
        <v>0</v>
      </c>
      <c r="M101" s="181">
        <f t="shared" si="54"/>
        <v>0</v>
      </c>
      <c r="N101" s="181">
        <f t="shared" si="54"/>
        <v>0</v>
      </c>
      <c r="O101" s="181">
        <f t="shared" si="54"/>
        <v>0</v>
      </c>
      <c r="P101" s="181">
        <f t="shared" si="54"/>
        <v>0</v>
      </c>
      <c r="Q101" s="181">
        <f t="shared" si="54"/>
        <v>0</v>
      </c>
      <c r="R101" s="181">
        <f t="shared" si="54"/>
        <v>0</v>
      </c>
      <c r="S101" s="181">
        <f t="shared" si="54"/>
        <v>0</v>
      </c>
      <c r="T101" s="181">
        <f t="shared" si="54"/>
        <v>0</v>
      </c>
      <c r="U101" s="181">
        <f t="shared" si="54"/>
        <v>0</v>
      </c>
      <c r="V101" s="181">
        <f t="shared" si="54"/>
        <v>0</v>
      </c>
      <c r="W101" s="181">
        <f t="shared" si="54"/>
        <v>0</v>
      </c>
      <c r="X101" s="181">
        <f t="shared" si="54"/>
        <v>0</v>
      </c>
      <c r="Y101" s="181">
        <f t="shared" si="54"/>
        <v>0</v>
      </c>
      <c r="Z101" s="181">
        <f t="shared" si="54"/>
        <v>0</v>
      </c>
      <c r="AA101" s="181">
        <f t="shared" si="54"/>
        <v>0</v>
      </c>
      <c r="AB101" s="181">
        <f t="shared" si="54"/>
        <v>0</v>
      </c>
      <c r="AC101" s="181">
        <f t="shared" si="54"/>
        <v>0</v>
      </c>
      <c r="AD101" s="181">
        <f t="shared" si="54"/>
        <v>0</v>
      </c>
      <c r="AE101" s="181">
        <f t="shared" si="54"/>
        <v>0</v>
      </c>
      <c r="AF101" s="181">
        <f t="shared" si="54"/>
        <v>0</v>
      </c>
      <c r="AG101" s="181">
        <f t="shared" si="54"/>
        <v>0</v>
      </c>
      <c r="AH101" s="181">
        <f t="shared" si="54"/>
        <v>0</v>
      </c>
      <c r="AI101" s="181">
        <f t="shared" si="54"/>
        <v>0</v>
      </c>
      <c r="AJ101" s="181">
        <f t="shared" si="54"/>
        <v>0</v>
      </c>
      <c r="AK101" s="181">
        <f t="shared" si="54"/>
        <v>0</v>
      </c>
      <c r="AL101" s="181">
        <f t="shared" si="54"/>
        <v>0</v>
      </c>
    </row>
    <row r="102" spans="1:38" s="66" customFormat="1" x14ac:dyDescent="0.25">
      <c r="B102" s="74" t="s">
        <v>22</v>
      </c>
      <c r="C102" s="178">
        <v>0</v>
      </c>
      <c r="D102" s="184">
        <v>200000</v>
      </c>
      <c r="E102" s="186">
        <f t="shared" si="47"/>
        <v>0</v>
      </c>
      <c r="F102" s="72"/>
      <c r="G102" s="178">
        <v>0</v>
      </c>
      <c r="H102" s="180">
        <v>200000</v>
      </c>
      <c r="I102" s="182">
        <f t="shared" si="48"/>
        <v>0</v>
      </c>
      <c r="J102" s="182">
        <f t="shared" ref="J102:AL102" si="55">$I$102*(1+$I$110)^J93</f>
        <v>0</v>
      </c>
      <c r="K102" s="182">
        <f t="shared" si="55"/>
        <v>0</v>
      </c>
      <c r="L102" s="182">
        <f t="shared" si="55"/>
        <v>0</v>
      </c>
      <c r="M102" s="182">
        <f t="shared" si="55"/>
        <v>0</v>
      </c>
      <c r="N102" s="182">
        <f t="shared" si="55"/>
        <v>0</v>
      </c>
      <c r="O102" s="182">
        <f t="shared" si="55"/>
        <v>0</v>
      </c>
      <c r="P102" s="182">
        <f t="shared" si="55"/>
        <v>0</v>
      </c>
      <c r="Q102" s="182">
        <f t="shared" si="55"/>
        <v>0</v>
      </c>
      <c r="R102" s="182">
        <f t="shared" si="55"/>
        <v>0</v>
      </c>
      <c r="S102" s="182">
        <f t="shared" si="55"/>
        <v>0</v>
      </c>
      <c r="T102" s="182">
        <f t="shared" si="55"/>
        <v>0</v>
      </c>
      <c r="U102" s="182">
        <f t="shared" si="55"/>
        <v>0</v>
      </c>
      <c r="V102" s="182">
        <f t="shared" si="55"/>
        <v>0</v>
      </c>
      <c r="W102" s="182">
        <f t="shared" si="55"/>
        <v>0</v>
      </c>
      <c r="X102" s="182">
        <f t="shared" si="55"/>
        <v>0</v>
      </c>
      <c r="Y102" s="182">
        <f t="shared" si="55"/>
        <v>0</v>
      </c>
      <c r="Z102" s="182">
        <f t="shared" si="55"/>
        <v>0</v>
      </c>
      <c r="AA102" s="182">
        <f t="shared" si="55"/>
        <v>0</v>
      </c>
      <c r="AB102" s="182">
        <f t="shared" si="55"/>
        <v>0</v>
      </c>
      <c r="AC102" s="182">
        <f t="shared" si="55"/>
        <v>0</v>
      </c>
      <c r="AD102" s="182">
        <f t="shared" si="55"/>
        <v>0</v>
      </c>
      <c r="AE102" s="182">
        <f t="shared" si="55"/>
        <v>0</v>
      </c>
      <c r="AF102" s="182">
        <f t="shared" si="55"/>
        <v>0</v>
      </c>
      <c r="AG102" s="182">
        <f t="shared" si="55"/>
        <v>0</v>
      </c>
      <c r="AH102" s="182">
        <f t="shared" si="55"/>
        <v>0</v>
      </c>
      <c r="AI102" s="182">
        <f t="shared" si="55"/>
        <v>0</v>
      </c>
      <c r="AJ102" s="182">
        <f t="shared" si="55"/>
        <v>0</v>
      </c>
      <c r="AK102" s="182">
        <f t="shared" si="55"/>
        <v>0</v>
      </c>
      <c r="AL102" s="182">
        <f t="shared" si="55"/>
        <v>0</v>
      </c>
    </row>
    <row r="103" spans="1:38" s="66" customFormat="1" x14ac:dyDescent="0.25">
      <c r="B103" s="306" t="s">
        <v>161</v>
      </c>
      <c r="C103" s="71">
        <f>SUM(C95:C102)</f>
        <v>0.5</v>
      </c>
      <c r="E103" s="307">
        <f>SUM(E95:E102)</f>
        <v>55200</v>
      </c>
      <c r="F103" s="73"/>
      <c r="G103" s="71">
        <f>SUM(G95:G102)</f>
        <v>0.2</v>
      </c>
      <c r="H103" s="73"/>
      <c r="I103" s="73"/>
      <c r="J103" s="188">
        <f t="shared" ref="J103:M103" si="56">SUM(J95:J102)</f>
        <v>20333.333333333336</v>
      </c>
      <c r="K103" s="188">
        <f t="shared" si="56"/>
        <v>20333.333333333336</v>
      </c>
      <c r="L103" s="188">
        <f t="shared" si="56"/>
        <v>20333.333333333336</v>
      </c>
      <c r="M103" s="188">
        <f t="shared" si="56"/>
        <v>20333.333333333336</v>
      </c>
      <c r="N103" s="188">
        <f t="shared" ref="N103:AL103" si="57">SUM(N95:N102)</f>
        <v>20333.333333333336</v>
      </c>
      <c r="O103" s="188">
        <f t="shared" si="57"/>
        <v>20333.333333333336</v>
      </c>
      <c r="P103" s="188">
        <f t="shared" si="57"/>
        <v>20333.333333333336</v>
      </c>
      <c r="Q103" s="188">
        <f t="shared" si="57"/>
        <v>20333.333333333336</v>
      </c>
      <c r="R103" s="188">
        <f t="shared" si="57"/>
        <v>20333.333333333336</v>
      </c>
      <c r="S103" s="188">
        <f t="shared" si="57"/>
        <v>20333.333333333336</v>
      </c>
      <c r="T103" s="188">
        <f t="shared" si="57"/>
        <v>20333.333333333336</v>
      </c>
      <c r="U103" s="188">
        <f t="shared" si="57"/>
        <v>20333.333333333336</v>
      </c>
      <c r="V103" s="188">
        <f t="shared" si="57"/>
        <v>20333.333333333336</v>
      </c>
      <c r="W103" s="188">
        <f t="shared" si="57"/>
        <v>20333.333333333336</v>
      </c>
      <c r="X103" s="188">
        <f t="shared" si="57"/>
        <v>20333.333333333336</v>
      </c>
      <c r="Y103" s="188">
        <f t="shared" si="57"/>
        <v>20333.333333333336</v>
      </c>
      <c r="Z103" s="188">
        <f t="shared" si="57"/>
        <v>20333.333333333336</v>
      </c>
      <c r="AA103" s="188">
        <f t="shared" si="57"/>
        <v>20333.333333333336</v>
      </c>
      <c r="AB103" s="188">
        <f t="shared" si="57"/>
        <v>20333.333333333336</v>
      </c>
      <c r="AC103" s="188">
        <f t="shared" si="57"/>
        <v>20333.333333333336</v>
      </c>
      <c r="AD103" s="188">
        <f t="shared" si="57"/>
        <v>20333.333333333336</v>
      </c>
      <c r="AE103" s="188">
        <f t="shared" si="57"/>
        <v>20333.333333333336</v>
      </c>
      <c r="AF103" s="188">
        <f t="shared" si="57"/>
        <v>20333.333333333336</v>
      </c>
      <c r="AG103" s="188">
        <f t="shared" si="57"/>
        <v>20333.333333333336</v>
      </c>
      <c r="AH103" s="188">
        <f t="shared" si="57"/>
        <v>20333.333333333336</v>
      </c>
      <c r="AI103" s="188">
        <f t="shared" si="57"/>
        <v>20333.333333333336</v>
      </c>
      <c r="AJ103" s="188">
        <f t="shared" si="57"/>
        <v>20333.333333333336</v>
      </c>
      <c r="AK103" s="188">
        <f t="shared" si="57"/>
        <v>20333.333333333336</v>
      </c>
      <c r="AL103" s="188">
        <f t="shared" si="57"/>
        <v>20333.333333333336</v>
      </c>
    </row>
    <row r="104" spans="1:38" s="66" customFormat="1" x14ac:dyDescent="0.25"/>
    <row r="105" spans="1:38" s="66" customFormat="1" x14ac:dyDescent="0.25">
      <c r="B105" s="66" t="s">
        <v>95</v>
      </c>
      <c r="C105" s="66">
        <v>1.5</v>
      </c>
      <c r="E105" s="36">
        <f>C105*E103</f>
        <v>82800</v>
      </c>
      <c r="G105" s="306" t="s">
        <v>161</v>
      </c>
      <c r="H105" s="37"/>
      <c r="I105" s="307">
        <f>SUM(J105:AL105)</f>
        <v>260702.5101431779</v>
      </c>
      <c r="J105" s="72">
        <f>-PV($C$63,J93,0,J103)</f>
        <v>18096.594280289544</v>
      </c>
      <c r="K105" s="72">
        <f>-PV($C$63,K93,0,K103)</f>
        <v>17072.258754990136</v>
      </c>
      <c r="L105" s="72">
        <f>-PV($C$63,L93,0,L103)</f>
        <v>16105.90448583975</v>
      </c>
      <c r="M105" s="72">
        <f>-PV($C$63,M93,0,M103)</f>
        <v>15194.249514943158</v>
      </c>
      <c r="N105" s="72">
        <f t="shared" ref="N105:AL105" si="58">-PV($C$83,N93,0,N103)</f>
        <v>14334.197655606753</v>
      </c>
      <c r="O105" s="72">
        <f>-PV($C$83,O93,0,O103)</f>
        <v>13522.827976987501</v>
      </c>
      <c r="P105" s="72">
        <f t="shared" si="58"/>
        <v>12757.384883950474</v>
      </c>
      <c r="Q105" s="72">
        <f t="shared" si="58"/>
        <v>12035.268758443843</v>
      </c>
      <c r="R105" s="72">
        <f t="shared" si="58"/>
        <v>11354.027130607397</v>
      </c>
      <c r="S105" s="72">
        <f t="shared" si="58"/>
        <v>10711.346349629619</v>
      </c>
      <c r="T105" s="72">
        <f t="shared" si="58"/>
        <v>10105.043726065678</v>
      </c>
      <c r="U105" s="72">
        <f t="shared" si="58"/>
        <v>9533.0601189298832</v>
      </c>
      <c r="V105" s="72">
        <f t="shared" si="58"/>
        <v>8993.4529423866843</v>
      </c>
      <c r="W105" s="72">
        <f t="shared" si="58"/>
        <v>8484.3895682893217</v>
      </c>
      <c r="X105" s="72">
        <f t="shared" si="58"/>
        <v>8004.1411021597396</v>
      </c>
      <c r="Y105" s="72">
        <f t="shared" si="58"/>
        <v>7551.0765114714513</v>
      </c>
      <c r="Z105" s="72">
        <f t="shared" si="58"/>
        <v>7123.6570862938224</v>
      </c>
      <c r="AA105" s="72">
        <f t="shared" si="58"/>
        <v>6720.4312134847369</v>
      </c>
      <c r="AB105" s="72">
        <f t="shared" si="58"/>
        <v>6340.029446683714</v>
      </c>
      <c r="AC105" s="72">
        <f t="shared" si="58"/>
        <v>5981.1598553619933</v>
      </c>
      <c r="AD105" s="72">
        <f t="shared" si="58"/>
        <v>5642.603637133956</v>
      </c>
      <c r="AE105" s="72">
        <f t="shared" si="58"/>
        <v>5323.2109784282593</v>
      </c>
      <c r="AF105" s="72">
        <f t="shared" si="58"/>
        <v>5021.897149460623</v>
      </c>
      <c r="AG105" s="72">
        <f t="shared" si="58"/>
        <v>4737.6388202458711</v>
      </c>
      <c r="AH105" s="72">
        <f t="shared" si="58"/>
        <v>4469.4705851376139</v>
      </c>
      <c r="AI105" s="72">
        <f t="shared" si="58"/>
        <v>4216.4816840920876</v>
      </c>
      <c r="AJ105" s="72">
        <f t="shared" si="58"/>
        <v>3977.8129095208374</v>
      </c>
      <c r="AK105" s="72">
        <f t="shared" si="58"/>
        <v>3752.6536882272048</v>
      </c>
      <c r="AL105" s="72">
        <f t="shared" si="58"/>
        <v>3540.2393285162307</v>
      </c>
    </row>
    <row r="106" spans="1:38" s="66" customFormat="1" x14ac:dyDescent="0.25">
      <c r="B106" s="66" t="s">
        <v>96</v>
      </c>
      <c r="C106" s="66">
        <v>0.5</v>
      </c>
      <c r="E106" s="36">
        <f>C106*E103</f>
        <v>27600</v>
      </c>
    </row>
    <row r="107" spans="1:38" s="66" customFormat="1" x14ac:dyDescent="0.25">
      <c r="F107" s="66" t="s">
        <v>95</v>
      </c>
      <c r="H107" s="66">
        <v>1.5</v>
      </c>
      <c r="I107" s="36">
        <f>H107*I105</f>
        <v>391053.76521476684</v>
      </c>
    </row>
    <row r="108" spans="1:38" s="66" customFormat="1" x14ac:dyDescent="0.25">
      <c r="F108" s="66" t="s">
        <v>96</v>
      </c>
      <c r="H108" s="66">
        <v>0.5</v>
      </c>
      <c r="I108" s="36">
        <f>H108*I105</f>
        <v>130351.25507158895</v>
      </c>
    </row>
    <row r="109" spans="1:38" s="66" customFormat="1" x14ac:dyDescent="0.25"/>
    <row r="110" spans="1:38" s="66" customFormat="1" x14ac:dyDescent="0.25">
      <c r="H110" s="66" t="s">
        <v>98</v>
      </c>
      <c r="I110" s="37">
        <v>0</v>
      </c>
      <c r="L110" s="72"/>
      <c r="M110" s="72"/>
    </row>
    <row r="111" spans="1:38" s="66" customFormat="1" x14ac:dyDescent="0.25">
      <c r="A111" s="2"/>
      <c r="B111" s="306"/>
      <c r="C111" s="2"/>
      <c r="D111" s="308" t="s">
        <v>162</v>
      </c>
      <c r="E111" s="307">
        <f>E103+I105</f>
        <v>315902.51014317793</v>
      </c>
      <c r="H111" s="66" t="s">
        <v>99</v>
      </c>
      <c r="I111" s="37">
        <v>0.06</v>
      </c>
      <c r="L111" s="72"/>
      <c r="M111" s="72"/>
    </row>
    <row r="112" spans="1:38" s="66" customFormat="1" x14ac:dyDescent="0.25"/>
    <row r="113" spans="1:13" s="66" customFormat="1" x14ac:dyDescent="0.25">
      <c r="B113" s="66" t="s">
        <v>95</v>
      </c>
      <c r="C113" s="66">
        <v>1.5</v>
      </c>
      <c r="E113" s="36">
        <f>C113*E111</f>
        <v>473853.7652147669</v>
      </c>
    </row>
    <row r="114" spans="1:13" s="66" customFormat="1" x14ac:dyDescent="0.25">
      <c r="B114" s="66" t="s">
        <v>96</v>
      </c>
      <c r="C114" s="66">
        <v>0.5</v>
      </c>
      <c r="E114" s="36">
        <f>C114*E111</f>
        <v>157951.25507158897</v>
      </c>
      <c r="I114" s="73"/>
    </row>
    <row r="115" spans="1:13" s="66" customFormat="1" x14ac:dyDescent="0.25"/>
    <row r="118" spans="1:13" s="34" customFormat="1" x14ac:dyDescent="0.25">
      <c r="A118" s="23" t="s">
        <v>101</v>
      </c>
    </row>
    <row r="119" spans="1:13" s="34" customFormat="1" x14ac:dyDescent="0.25"/>
    <row r="120" spans="1:13" s="42" customFormat="1" ht="90" x14ac:dyDescent="0.25">
      <c r="B120" s="42" t="s">
        <v>103</v>
      </c>
      <c r="C120" s="214" t="s">
        <v>102</v>
      </c>
      <c r="D120" s="214" t="s">
        <v>132</v>
      </c>
      <c r="E120" s="214" t="s">
        <v>129</v>
      </c>
      <c r="G120" s="214" t="s">
        <v>127</v>
      </c>
      <c r="H120" s="214" t="s">
        <v>134</v>
      </c>
      <c r="I120" s="214" t="s">
        <v>131</v>
      </c>
      <c r="K120" s="214" t="s">
        <v>128</v>
      </c>
      <c r="L120" s="214" t="s">
        <v>133</v>
      </c>
      <c r="M120" s="214" t="s">
        <v>130</v>
      </c>
    </row>
    <row r="121" spans="1:13" s="34" customFormat="1" x14ac:dyDescent="0.25"/>
    <row r="122" spans="1:13" s="34" customFormat="1" x14ac:dyDescent="0.25">
      <c r="A122" s="209" t="s">
        <v>104</v>
      </c>
      <c r="B122" s="212">
        <v>51</v>
      </c>
      <c r="C122" s="60">
        <f>100000*(1+$C$130)^10</f>
        <v>100000</v>
      </c>
      <c r="D122" s="212">
        <v>2</v>
      </c>
      <c r="E122" s="60">
        <f t="shared" ref="E122:E123" si="59">C122*D122</f>
        <v>200000</v>
      </c>
      <c r="G122" s="60"/>
      <c r="H122" s="212"/>
      <c r="I122" s="60">
        <f t="shared" ref="I122:I123" si="60">G122*H122</f>
        <v>0</v>
      </c>
      <c r="K122" s="60"/>
      <c r="L122" s="212"/>
      <c r="M122" s="60">
        <f t="shared" ref="M122:M125" si="61">K122*L122</f>
        <v>0</v>
      </c>
    </row>
    <row r="123" spans="1:13" s="34" customFormat="1" x14ac:dyDescent="0.25">
      <c r="A123" s="210"/>
      <c r="B123" s="213">
        <v>51</v>
      </c>
      <c r="C123" s="211">
        <f>10000*(1+$C$130)^10</f>
        <v>10000</v>
      </c>
      <c r="D123" s="213">
        <f>(B123/3)-D122</f>
        <v>15</v>
      </c>
      <c r="E123" s="211">
        <f t="shared" si="59"/>
        <v>150000</v>
      </c>
      <c r="G123" s="211"/>
      <c r="H123" s="213"/>
      <c r="I123" s="211">
        <f t="shared" si="60"/>
        <v>0</v>
      </c>
      <c r="K123" s="211"/>
      <c r="L123" s="213"/>
      <c r="M123" s="211">
        <f t="shared" si="61"/>
        <v>0</v>
      </c>
    </row>
    <row r="124" spans="1:13" s="34" customFormat="1" x14ac:dyDescent="0.25">
      <c r="A124" s="209" t="s">
        <v>105</v>
      </c>
      <c r="B124" s="212">
        <v>54</v>
      </c>
      <c r="C124" s="60"/>
      <c r="D124" s="212"/>
      <c r="E124" s="60">
        <f>C124*D124</f>
        <v>0</v>
      </c>
      <c r="G124" s="60">
        <f>100000*(1+$C$130)^20</f>
        <v>100000</v>
      </c>
      <c r="H124" s="212">
        <v>2</v>
      </c>
      <c r="I124" s="60">
        <f>G124*H124</f>
        <v>200000</v>
      </c>
      <c r="K124" s="60"/>
      <c r="L124" s="212"/>
      <c r="M124" s="60">
        <f t="shared" si="61"/>
        <v>0</v>
      </c>
    </row>
    <row r="125" spans="1:13" s="34" customFormat="1" x14ac:dyDescent="0.25">
      <c r="A125" s="210"/>
      <c r="B125" s="213">
        <v>54</v>
      </c>
      <c r="C125" s="211"/>
      <c r="D125" s="213"/>
      <c r="E125" s="211">
        <f>C125*D125</f>
        <v>0</v>
      </c>
      <c r="G125" s="211">
        <f>10000*(1+$C$130)^20</f>
        <v>10000</v>
      </c>
      <c r="H125" s="213">
        <f>(B125/3)-H124</f>
        <v>16</v>
      </c>
      <c r="I125" s="211">
        <f>G125*H125</f>
        <v>160000</v>
      </c>
      <c r="K125" s="211"/>
      <c r="L125" s="213"/>
      <c r="M125" s="211">
        <f t="shared" si="61"/>
        <v>0</v>
      </c>
    </row>
    <row r="126" spans="1:13" s="34" customFormat="1" x14ac:dyDescent="0.25">
      <c r="A126" s="209" t="s">
        <v>106</v>
      </c>
      <c r="B126" s="212">
        <v>57</v>
      </c>
      <c r="C126" s="60"/>
      <c r="D126" s="212"/>
      <c r="E126" s="60">
        <f>C126*D126</f>
        <v>0</v>
      </c>
      <c r="G126" s="60"/>
      <c r="H126" s="212"/>
      <c r="I126" s="60">
        <f t="shared" ref="I126:I127" si="62">G126*H126</f>
        <v>0</v>
      </c>
      <c r="K126" s="60">
        <f>100000*(1+$C$130)^30</f>
        <v>100000</v>
      </c>
      <c r="L126" s="212">
        <v>2</v>
      </c>
      <c r="M126" s="60">
        <f>K126*L126</f>
        <v>200000</v>
      </c>
    </row>
    <row r="127" spans="1:13" s="34" customFormat="1" x14ac:dyDescent="0.25">
      <c r="A127" s="210"/>
      <c r="B127" s="213">
        <v>57</v>
      </c>
      <c r="C127" s="211"/>
      <c r="D127" s="213"/>
      <c r="E127" s="211">
        <f>C127*D127</f>
        <v>0</v>
      </c>
      <c r="G127" s="211"/>
      <c r="H127" s="213"/>
      <c r="I127" s="211">
        <f t="shared" si="62"/>
        <v>0</v>
      </c>
      <c r="K127" s="211">
        <f>10000*(1+$C$130)^30</f>
        <v>10000</v>
      </c>
      <c r="L127" s="213">
        <f>(B127/3)-L126</f>
        <v>17</v>
      </c>
      <c r="M127" s="211">
        <f>K127*L127</f>
        <v>170000</v>
      </c>
    </row>
    <row r="128" spans="1:13" s="34" customFormat="1" x14ac:dyDescent="0.25">
      <c r="B128" s="34" t="s">
        <v>25</v>
      </c>
      <c r="E128" s="60">
        <f>SUM(E122:E127)</f>
        <v>350000</v>
      </c>
      <c r="I128" s="60">
        <f>SUM(I122:I127)</f>
        <v>360000</v>
      </c>
      <c r="M128" s="60">
        <f>SUM(M122:M127)</f>
        <v>370000</v>
      </c>
    </row>
    <row r="129" spans="2:16" s="34" customFormat="1" x14ac:dyDescent="0.25">
      <c r="E129" s="35"/>
      <c r="I129" s="35"/>
      <c r="M129" s="35"/>
    </row>
    <row r="130" spans="2:16" s="34" customFormat="1" x14ac:dyDescent="0.25">
      <c r="B130" s="34" t="s">
        <v>98</v>
      </c>
      <c r="C130" s="37">
        <v>0</v>
      </c>
      <c r="E130" s="35"/>
      <c r="I130" s="35"/>
      <c r="M130" s="35"/>
    </row>
    <row r="131" spans="2:16" s="34" customFormat="1" x14ac:dyDescent="0.25">
      <c r="B131" s="34" t="s">
        <v>99</v>
      </c>
      <c r="C131" s="37">
        <v>0.06</v>
      </c>
      <c r="E131" s="35"/>
      <c r="I131" s="35"/>
      <c r="M131" s="35"/>
    </row>
    <row r="132" spans="2:16" s="34" customFormat="1" x14ac:dyDescent="0.25">
      <c r="E132" s="35"/>
      <c r="I132" s="35"/>
      <c r="M132" s="35"/>
    </row>
    <row r="133" spans="2:16" s="34" customFormat="1" x14ac:dyDescent="0.25">
      <c r="C133" s="34" t="s">
        <v>100</v>
      </c>
      <c r="E133" s="35">
        <f>-PV($C$131,10,,E128)</f>
        <v>195438.17192029126</v>
      </c>
      <c r="I133" s="35">
        <f>-PV($C$131,20,,I128)</f>
        <v>112249.70167899034</v>
      </c>
      <c r="M133" s="35">
        <f>-PV($C$131,30,,M128)</f>
        <v>64420.748436934686</v>
      </c>
    </row>
    <row r="134" spans="2:16" s="34" customFormat="1" x14ac:dyDescent="0.25">
      <c r="E134" s="35"/>
      <c r="I134" s="35"/>
      <c r="M134" s="35"/>
    </row>
    <row r="135" spans="2:16" s="34" customFormat="1" x14ac:dyDescent="0.25">
      <c r="E135" s="35"/>
      <c r="I135" s="35"/>
      <c r="M135" s="35"/>
      <c r="N135" s="306" t="s">
        <v>161</v>
      </c>
      <c r="O135" s="2"/>
      <c r="P135" s="307">
        <f>E133+I133+M133</f>
        <v>372108.62203621626</v>
      </c>
    </row>
    <row r="136" spans="2:16" s="34" customFormat="1" x14ac:dyDescent="0.25">
      <c r="E136" s="35"/>
      <c r="I136" s="35"/>
      <c r="M136" s="35"/>
    </row>
    <row r="137" spans="2:16" s="34" customFormat="1" x14ac:dyDescent="0.25">
      <c r="B137" s="34" t="s">
        <v>95</v>
      </c>
      <c r="C137" s="34">
        <v>1.5</v>
      </c>
      <c r="E137" s="35">
        <f>C137*E133</f>
        <v>293157.2578804369</v>
      </c>
      <c r="G137" s="34">
        <v>1.5</v>
      </c>
      <c r="I137" s="35">
        <f>G137*I133</f>
        <v>168374.55251848552</v>
      </c>
      <c r="K137" s="34">
        <v>1.5</v>
      </c>
      <c r="M137" s="35">
        <f>K137*M133</f>
        <v>96631.122655402025</v>
      </c>
      <c r="O137" s="34">
        <v>1.5</v>
      </c>
      <c r="P137" s="36">
        <f>O137*P135</f>
        <v>558162.93305432436</v>
      </c>
    </row>
    <row r="138" spans="2:16" s="34" customFormat="1" x14ac:dyDescent="0.25">
      <c r="B138" s="34" t="s">
        <v>96</v>
      </c>
      <c r="C138" s="34">
        <v>0.5</v>
      </c>
      <c r="E138" s="35">
        <f>C138*E133</f>
        <v>97719.085960145632</v>
      </c>
      <c r="G138" s="34">
        <v>0.5</v>
      </c>
      <c r="I138" s="35">
        <f>G138*I133</f>
        <v>56124.850839495171</v>
      </c>
      <c r="K138" s="34">
        <v>0.5</v>
      </c>
      <c r="M138" s="35">
        <f>K138*M133</f>
        <v>32210.374218467343</v>
      </c>
      <c r="O138" s="34">
        <v>0.5</v>
      </c>
      <c r="P138" s="36">
        <f>O138*P135</f>
        <v>186054.31101810813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J239"/>
  <sheetViews>
    <sheetView workbookViewId="0"/>
  </sheetViews>
  <sheetFormatPr defaultRowHeight="15" x14ac:dyDescent="0.25"/>
  <cols>
    <col min="2" max="2" width="20.42578125" customWidth="1"/>
    <col min="3" max="3" width="13.140625" customWidth="1"/>
    <col min="4" max="4" width="15.28515625" customWidth="1"/>
    <col min="5" max="5" width="18.5703125" customWidth="1"/>
    <col min="6" max="6" width="16.42578125" customWidth="1"/>
    <col min="7" max="7" width="14.7109375" customWidth="1"/>
    <col min="8" max="8" width="20.42578125" customWidth="1"/>
    <col min="9" max="9" width="8.85546875" customWidth="1"/>
    <col min="10" max="10" width="10.28515625" bestFit="1" customWidth="1"/>
  </cols>
  <sheetData>
    <row r="3" spans="2:10" x14ac:dyDescent="0.25">
      <c r="B3" s="4" t="s">
        <v>10</v>
      </c>
    </row>
    <row r="4" spans="2:10" ht="75" x14ac:dyDescent="0.25">
      <c r="B4" s="16" t="s">
        <v>0</v>
      </c>
      <c r="C4" s="16" t="s">
        <v>1</v>
      </c>
      <c r="D4" s="16" t="s">
        <v>2</v>
      </c>
      <c r="E4" s="16" t="s">
        <v>3</v>
      </c>
      <c r="F4" s="16" t="s">
        <v>70</v>
      </c>
      <c r="G4" s="16" t="s">
        <v>71</v>
      </c>
      <c r="H4" s="16" t="s">
        <v>4</v>
      </c>
      <c r="I4" s="21" t="s">
        <v>63</v>
      </c>
      <c r="J4" s="22" t="s">
        <v>64</v>
      </c>
    </row>
    <row r="5" spans="2:10" x14ac:dyDescent="0.25">
      <c r="B5" t="s">
        <v>5</v>
      </c>
      <c r="C5" s="11" t="s">
        <v>9</v>
      </c>
      <c r="D5" s="305">
        <v>12.5</v>
      </c>
      <c r="E5" s="305"/>
      <c r="F5" s="20">
        <v>1.1000000000000001</v>
      </c>
      <c r="G5" s="20">
        <v>0.8</v>
      </c>
      <c r="H5" s="17">
        <v>16.8</v>
      </c>
      <c r="I5" s="11">
        <f>D5+F5+(4*G5)</f>
        <v>16.8</v>
      </c>
      <c r="J5" s="23">
        <f t="shared" ref="J5:J6" si="0">H5-I5</f>
        <v>0</v>
      </c>
    </row>
    <row r="6" spans="2:10" x14ac:dyDescent="0.25">
      <c r="B6" t="s">
        <v>7</v>
      </c>
      <c r="C6" s="10">
        <v>4.3</v>
      </c>
      <c r="D6" s="12">
        <v>8.1999999999999993</v>
      </c>
      <c r="E6" s="12">
        <v>1.5</v>
      </c>
      <c r="F6" s="12">
        <v>1.5</v>
      </c>
      <c r="G6" s="12">
        <v>0.8</v>
      </c>
      <c r="H6" s="10">
        <v>14.4</v>
      </c>
      <c r="I6" s="11">
        <f>D6+E6+F6+(4*G6)</f>
        <v>14.399999999999999</v>
      </c>
      <c r="J6" s="23">
        <f t="shared" si="0"/>
        <v>0</v>
      </c>
    </row>
    <row r="7" spans="2:10" x14ac:dyDescent="0.25">
      <c r="B7" t="s">
        <v>8</v>
      </c>
      <c r="C7" s="13">
        <v>3.2</v>
      </c>
      <c r="D7" s="18">
        <v>2</v>
      </c>
      <c r="E7" s="14">
        <v>0</v>
      </c>
      <c r="F7" s="14">
        <v>0.7</v>
      </c>
      <c r="G7" s="14">
        <v>0.4</v>
      </c>
      <c r="H7" s="17">
        <v>4.5</v>
      </c>
      <c r="I7" s="11">
        <f>D7+E7+F7+(4*G7)</f>
        <v>4.3000000000000007</v>
      </c>
      <c r="J7" s="23">
        <f>H7-I7</f>
        <v>0.19999999999999929</v>
      </c>
    </row>
    <row r="8" spans="2:10" x14ac:dyDescent="0.25">
      <c r="B8" t="s">
        <v>6</v>
      </c>
      <c r="C8" s="13">
        <v>2.8</v>
      </c>
      <c r="D8" s="18">
        <v>0.5</v>
      </c>
      <c r="E8" s="15">
        <v>0</v>
      </c>
      <c r="F8" s="15">
        <v>0.6</v>
      </c>
      <c r="G8" s="15">
        <v>0.3</v>
      </c>
      <c r="H8" s="17">
        <v>2.2999999999999998</v>
      </c>
      <c r="I8" s="11">
        <f>D8+E8+F8+(4*G8)</f>
        <v>2.2999999999999998</v>
      </c>
      <c r="J8" s="23">
        <f t="shared" ref="J8" si="1">H8-I8</f>
        <v>0</v>
      </c>
    </row>
    <row r="10" spans="2:10" x14ac:dyDescent="0.25">
      <c r="B10" s="4" t="s">
        <v>11</v>
      </c>
    </row>
    <row r="11" spans="2:10" ht="75" x14ac:dyDescent="0.25">
      <c r="B11" s="16" t="s">
        <v>0</v>
      </c>
      <c r="C11" s="16" t="s">
        <v>1</v>
      </c>
      <c r="D11" s="16" t="s">
        <v>2</v>
      </c>
      <c r="E11" s="16" t="s">
        <v>3</v>
      </c>
      <c r="F11" s="16" t="s">
        <v>70</v>
      </c>
      <c r="G11" s="16" t="s">
        <v>71</v>
      </c>
      <c r="H11" s="16" t="s">
        <v>4</v>
      </c>
      <c r="I11" s="21" t="s">
        <v>63</v>
      </c>
      <c r="J11" s="22" t="s">
        <v>64</v>
      </c>
    </row>
    <row r="12" spans="2:10" x14ac:dyDescent="0.25">
      <c r="B12" t="s">
        <v>5</v>
      </c>
      <c r="C12" s="11" t="s">
        <v>9</v>
      </c>
      <c r="D12" s="305">
        <v>13.4</v>
      </c>
      <c r="E12" s="305"/>
      <c r="F12" s="20">
        <v>1.1000000000000001</v>
      </c>
      <c r="G12" s="20">
        <v>0.8</v>
      </c>
      <c r="H12" s="17">
        <v>17.7</v>
      </c>
      <c r="I12" s="11">
        <f>D12+F12+(4*G12)</f>
        <v>17.7</v>
      </c>
      <c r="J12" s="23">
        <f t="shared" ref="J12:J15" si="2">H12-I12</f>
        <v>0</v>
      </c>
    </row>
    <row r="13" spans="2:10" x14ac:dyDescent="0.25">
      <c r="B13" t="s">
        <v>7</v>
      </c>
      <c r="C13" s="10">
        <v>4.3</v>
      </c>
      <c r="D13" s="12">
        <v>8.1999999999999993</v>
      </c>
      <c r="E13" s="12">
        <v>1.5</v>
      </c>
      <c r="F13" s="12">
        <v>1.5</v>
      </c>
      <c r="G13" s="12">
        <v>0.8</v>
      </c>
      <c r="H13" s="10">
        <v>14.4</v>
      </c>
      <c r="I13" s="11">
        <f>D13+E13+F13+(4*G13)</f>
        <v>14.399999999999999</v>
      </c>
      <c r="J13" s="23">
        <f t="shared" si="2"/>
        <v>0</v>
      </c>
    </row>
    <row r="14" spans="2:10" x14ac:dyDescent="0.25">
      <c r="B14" t="s">
        <v>8</v>
      </c>
      <c r="C14" s="13">
        <v>3.2</v>
      </c>
      <c r="D14" s="18">
        <v>4</v>
      </c>
      <c r="E14" s="14">
        <v>0</v>
      </c>
      <c r="F14" s="14">
        <v>0.7</v>
      </c>
      <c r="G14" s="14">
        <v>0.4</v>
      </c>
      <c r="H14" s="17">
        <v>6.5</v>
      </c>
      <c r="I14" s="11">
        <f>D14+E14+F14+(4*G14)</f>
        <v>6.3000000000000007</v>
      </c>
      <c r="J14" s="23">
        <f t="shared" si="2"/>
        <v>0.19999999999999929</v>
      </c>
    </row>
    <row r="15" spans="2:10" x14ac:dyDescent="0.25">
      <c r="B15" t="s">
        <v>6</v>
      </c>
      <c r="C15" s="13">
        <v>2.8</v>
      </c>
      <c r="D15" s="18">
        <v>2</v>
      </c>
      <c r="E15" s="15">
        <v>0</v>
      </c>
      <c r="F15" s="15">
        <v>0.6</v>
      </c>
      <c r="G15" s="15">
        <v>0.3</v>
      </c>
      <c r="H15" s="17">
        <v>3.8</v>
      </c>
      <c r="I15" s="11">
        <f>D15+E15+F15+(4*G15)</f>
        <v>3.8</v>
      </c>
      <c r="J15" s="23">
        <f t="shared" si="2"/>
        <v>0</v>
      </c>
    </row>
    <row r="17" spans="2:6" x14ac:dyDescent="0.25">
      <c r="C17" s="2"/>
      <c r="D17" t="s">
        <v>12</v>
      </c>
      <c r="E17" t="s">
        <v>13</v>
      </c>
    </row>
    <row r="18" spans="2:6" x14ac:dyDescent="0.25">
      <c r="E18" t="s">
        <v>14</v>
      </c>
    </row>
    <row r="21" spans="2:6" x14ac:dyDescent="0.25">
      <c r="B21" s="3" t="s">
        <v>26</v>
      </c>
      <c r="C21" t="s">
        <v>72</v>
      </c>
    </row>
    <row r="23" spans="2:6" x14ac:dyDescent="0.25">
      <c r="B23" t="s">
        <v>32</v>
      </c>
      <c r="C23" t="s">
        <v>33</v>
      </c>
      <c r="E23" t="s">
        <v>34</v>
      </c>
    </row>
    <row r="24" spans="2:6" x14ac:dyDescent="0.25">
      <c r="C24" s="223" t="s">
        <v>35</v>
      </c>
      <c r="D24" s="223" t="s">
        <v>36</v>
      </c>
      <c r="E24" s="232" t="s">
        <v>38</v>
      </c>
      <c r="F24" s="232" t="s">
        <v>37</v>
      </c>
    </row>
    <row r="25" spans="2:6" x14ac:dyDescent="0.25">
      <c r="B25" t="s">
        <v>27</v>
      </c>
      <c r="C25" s="218">
        <v>6</v>
      </c>
      <c r="D25" s="218">
        <v>8</v>
      </c>
      <c r="E25" s="233">
        <f>561.7/8/6</f>
        <v>11.702083333333334</v>
      </c>
      <c r="F25" s="233">
        <f t="shared" ref="F25:F27" si="3">C25*D25*E25</f>
        <v>561.70000000000005</v>
      </c>
    </row>
    <row r="26" spans="2:6" x14ac:dyDescent="0.25">
      <c r="B26" t="s">
        <v>28</v>
      </c>
      <c r="C26" s="218">
        <v>12</v>
      </c>
      <c r="D26" s="218">
        <v>4</v>
      </c>
      <c r="E26" s="233">
        <f>561.7/8/6</f>
        <v>11.702083333333334</v>
      </c>
      <c r="F26" s="233">
        <f t="shared" si="3"/>
        <v>561.70000000000005</v>
      </c>
    </row>
    <row r="27" spans="2:6" x14ac:dyDescent="0.25">
      <c r="B27" t="s">
        <v>29</v>
      </c>
      <c r="C27" s="218">
        <v>12</v>
      </c>
      <c r="D27" s="218">
        <v>3</v>
      </c>
      <c r="E27" s="233">
        <v>44</v>
      </c>
      <c r="F27" s="233">
        <f t="shared" si="3"/>
        <v>1584</v>
      </c>
    </row>
    <row r="28" spans="2:6" x14ac:dyDescent="0.25">
      <c r="B28" t="s">
        <v>30</v>
      </c>
      <c r="C28" s="218">
        <v>6</v>
      </c>
      <c r="D28" s="218">
        <v>1</v>
      </c>
      <c r="E28" s="233">
        <v>11.7</v>
      </c>
      <c r="F28" s="233">
        <f>C28*D28*E28</f>
        <v>70.199999999999989</v>
      </c>
    </row>
    <row r="29" spans="2:6" x14ac:dyDescent="0.25">
      <c r="B29" t="s">
        <v>31</v>
      </c>
      <c r="C29" s="218"/>
      <c r="D29" s="218"/>
      <c r="E29" s="233">
        <v>1500</v>
      </c>
      <c r="F29" s="233">
        <v>1500</v>
      </c>
    </row>
    <row r="30" spans="2:6" x14ac:dyDescent="0.25">
      <c r="F30" s="279">
        <f>SUM(F25:F29)</f>
        <v>4277.6000000000004</v>
      </c>
    </row>
    <row r="33" spans="2:6" x14ac:dyDescent="0.25">
      <c r="B33" s="3" t="s">
        <v>40</v>
      </c>
    </row>
    <row r="35" spans="2:6" x14ac:dyDescent="0.25">
      <c r="B35" s="53" t="s">
        <v>5</v>
      </c>
    </row>
    <row r="37" spans="2:6" x14ac:dyDescent="0.25">
      <c r="B37" s="4" t="s">
        <v>53</v>
      </c>
      <c r="C37" t="s">
        <v>60</v>
      </c>
    </row>
    <row r="39" spans="2:6" x14ac:dyDescent="0.25">
      <c r="B39" s="9" t="s">
        <v>10</v>
      </c>
    </row>
    <row r="41" spans="2:6" x14ac:dyDescent="0.25">
      <c r="C41" s="223" t="s">
        <v>41</v>
      </c>
      <c r="D41" s="232" t="s">
        <v>16</v>
      </c>
      <c r="E41" s="224" t="s">
        <v>47</v>
      </c>
      <c r="F41" s="224" t="s">
        <v>48</v>
      </c>
    </row>
    <row r="42" spans="2:6" x14ac:dyDescent="0.25">
      <c r="B42" t="s">
        <v>42</v>
      </c>
      <c r="C42" s="218">
        <v>5300</v>
      </c>
      <c r="D42" s="233">
        <v>6900</v>
      </c>
      <c r="E42" s="220">
        <f>D42/C42*1000</f>
        <v>1301.8867924528302</v>
      </c>
      <c r="F42" s="221">
        <f>D42/$D$48</f>
        <v>0.55200000000000005</v>
      </c>
    </row>
    <row r="43" spans="2:6" x14ac:dyDescent="0.25">
      <c r="B43" t="s">
        <v>43</v>
      </c>
      <c r="C43" s="218">
        <v>500</v>
      </c>
      <c r="D43" s="233">
        <v>700</v>
      </c>
      <c r="E43" s="236">
        <f t="shared" ref="E43:E46" si="4">D43/C43*1000</f>
        <v>1400</v>
      </c>
      <c r="F43" s="221">
        <f t="shared" ref="F43:F46" si="5">D43/$D$48</f>
        <v>5.6000000000000001E-2</v>
      </c>
    </row>
    <row r="44" spans="2:6" x14ac:dyDescent="0.25">
      <c r="B44" t="s">
        <v>44</v>
      </c>
      <c r="C44" s="218">
        <v>550</v>
      </c>
      <c r="D44" s="233">
        <v>1100</v>
      </c>
      <c r="E44" s="236">
        <f t="shared" si="4"/>
        <v>2000</v>
      </c>
      <c r="F44" s="221">
        <f t="shared" si="5"/>
        <v>8.7999999999999995E-2</v>
      </c>
    </row>
    <row r="45" spans="2:6" x14ac:dyDescent="0.25">
      <c r="B45" t="s">
        <v>45</v>
      </c>
      <c r="C45" s="218">
        <v>250</v>
      </c>
      <c r="D45" s="233">
        <v>500</v>
      </c>
      <c r="E45" s="236">
        <f t="shared" si="4"/>
        <v>2000</v>
      </c>
      <c r="F45" s="221">
        <f t="shared" si="5"/>
        <v>0.04</v>
      </c>
    </row>
    <row r="46" spans="2:6" ht="30" x14ac:dyDescent="0.25">
      <c r="B46" s="1" t="s">
        <v>49</v>
      </c>
      <c r="C46" s="218">
        <v>800</v>
      </c>
      <c r="D46" s="233">
        <v>1600</v>
      </c>
      <c r="E46" s="236">
        <f t="shared" si="4"/>
        <v>2000</v>
      </c>
      <c r="F46" s="221">
        <f t="shared" si="5"/>
        <v>0.128</v>
      </c>
    </row>
    <row r="47" spans="2:6" x14ac:dyDescent="0.25">
      <c r="B47" s="5" t="s">
        <v>46</v>
      </c>
      <c r="C47" s="219">
        <v>0</v>
      </c>
      <c r="D47" s="234">
        <v>1700</v>
      </c>
      <c r="E47" s="228"/>
      <c r="F47" s="222">
        <f>D47/$D$48</f>
        <v>0.13600000000000001</v>
      </c>
    </row>
    <row r="48" spans="2:6" x14ac:dyDescent="0.25">
      <c r="B48" t="s">
        <v>25</v>
      </c>
      <c r="C48" s="10">
        <f>SUM(C42:C47)</f>
        <v>7400</v>
      </c>
      <c r="D48" s="235">
        <f>SUM(D42:D47)</f>
        <v>12500</v>
      </c>
      <c r="E48" s="230"/>
      <c r="F48" s="58">
        <f>SUM(F42:F47)</f>
        <v>1</v>
      </c>
    </row>
    <row r="49" spans="2:6" x14ac:dyDescent="0.25">
      <c r="D49" s="231"/>
    </row>
    <row r="51" spans="2:6" x14ac:dyDescent="0.25">
      <c r="B51" s="9" t="s">
        <v>11</v>
      </c>
    </row>
    <row r="53" spans="2:6" x14ac:dyDescent="0.25">
      <c r="C53" s="223" t="s">
        <v>41</v>
      </c>
      <c r="D53" s="223" t="s">
        <v>16</v>
      </c>
      <c r="E53" s="224" t="s">
        <v>47</v>
      </c>
      <c r="F53" s="224" t="s">
        <v>48</v>
      </c>
    </row>
    <row r="54" spans="2:6" x14ac:dyDescent="0.25">
      <c r="B54" t="s">
        <v>42</v>
      </c>
      <c r="C54" s="218">
        <v>5900</v>
      </c>
      <c r="D54" s="225">
        <v>7800</v>
      </c>
      <c r="E54" s="220">
        <f>D54/C54*1000</f>
        <v>1322.0338983050847</v>
      </c>
      <c r="F54" s="221">
        <f>D54/$D$60</f>
        <v>0.58208955223880599</v>
      </c>
    </row>
    <row r="55" spans="2:6" x14ac:dyDescent="0.25">
      <c r="B55" t="s">
        <v>43</v>
      </c>
      <c r="C55" s="218">
        <v>500</v>
      </c>
      <c r="D55" s="225">
        <v>700</v>
      </c>
      <c r="E55" s="226">
        <f t="shared" ref="E55:E58" si="6">D55/C55*1000</f>
        <v>1400</v>
      </c>
      <c r="F55" s="221">
        <f t="shared" ref="F55:F58" si="7">D55/$D$60</f>
        <v>5.2238805970149252E-2</v>
      </c>
    </row>
    <row r="56" spans="2:6" x14ac:dyDescent="0.25">
      <c r="B56" t="s">
        <v>44</v>
      </c>
      <c r="C56" s="218">
        <v>550</v>
      </c>
      <c r="D56" s="225">
        <v>1100</v>
      </c>
      <c r="E56" s="226">
        <f t="shared" si="6"/>
        <v>2000</v>
      </c>
      <c r="F56" s="221">
        <f t="shared" si="7"/>
        <v>8.2089552238805971E-2</v>
      </c>
    </row>
    <row r="57" spans="2:6" x14ac:dyDescent="0.25">
      <c r="B57" t="s">
        <v>45</v>
      </c>
      <c r="C57" s="218">
        <v>250</v>
      </c>
      <c r="D57" s="225">
        <v>500</v>
      </c>
      <c r="E57" s="226">
        <f t="shared" si="6"/>
        <v>2000</v>
      </c>
      <c r="F57" s="221">
        <f t="shared" si="7"/>
        <v>3.7313432835820892E-2</v>
      </c>
    </row>
    <row r="58" spans="2:6" ht="30" x14ac:dyDescent="0.25">
      <c r="B58" s="1" t="s">
        <v>49</v>
      </c>
      <c r="C58" s="218">
        <v>800</v>
      </c>
      <c r="D58" s="225">
        <v>1600</v>
      </c>
      <c r="E58" s="226">
        <f t="shared" si="6"/>
        <v>2000</v>
      </c>
      <c r="F58" s="221">
        <f t="shared" si="7"/>
        <v>0.11940298507462686</v>
      </c>
    </row>
    <row r="59" spans="2:6" x14ac:dyDescent="0.25">
      <c r="B59" s="5" t="s">
        <v>46</v>
      </c>
      <c r="C59" s="219">
        <v>0</v>
      </c>
      <c r="D59" s="227">
        <v>1700</v>
      </c>
      <c r="E59" s="228"/>
      <c r="F59" s="222">
        <f>D59/$D$60</f>
        <v>0.12686567164179105</v>
      </c>
    </row>
    <row r="60" spans="2:6" x14ac:dyDescent="0.25">
      <c r="B60" t="s">
        <v>25</v>
      </c>
      <c r="C60" s="10">
        <f>SUM(C54:C59)</f>
        <v>8000</v>
      </c>
      <c r="D60" s="229">
        <f>SUM(D54:D59)</f>
        <v>13400</v>
      </c>
      <c r="E60" s="230"/>
      <c r="F60" s="58">
        <f>SUM(F54:F59)</f>
        <v>1</v>
      </c>
    </row>
    <row r="63" spans="2:6" x14ac:dyDescent="0.25">
      <c r="B63" s="4" t="s">
        <v>54</v>
      </c>
    </row>
    <row r="65" spans="2:5" x14ac:dyDescent="0.25">
      <c r="B65" s="9" t="s">
        <v>61</v>
      </c>
    </row>
    <row r="67" spans="2:5" x14ac:dyDescent="0.25">
      <c r="C67" s="223" t="s">
        <v>15</v>
      </c>
      <c r="D67" s="223" t="s">
        <v>16</v>
      </c>
      <c r="E67" s="224" t="s">
        <v>57</v>
      </c>
    </row>
    <row r="68" spans="2:5" x14ac:dyDescent="0.25">
      <c r="B68" t="s">
        <v>65</v>
      </c>
      <c r="C68" s="218">
        <v>1</v>
      </c>
      <c r="D68" s="216">
        <v>85</v>
      </c>
      <c r="E68" s="240">
        <f t="shared" ref="E68" si="8">D68/C68</f>
        <v>85</v>
      </c>
    </row>
    <row r="69" spans="2:5" x14ac:dyDescent="0.25">
      <c r="B69" t="s">
        <v>66</v>
      </c>
      <c r="C69" s="218">
        <v>2.5</v>
      </c>
      <c r="D69" s="216">
        <v>212</v>
      </c>
      <c r="E69" s="240">
        <f>D69/C69</f>
        <v>84.8</v>
      </c>
    </row>
    <row r="70" spans="2:5" x14ac:dyDescent="0.25">
      <c r="B70" t="s">
        <v>67</v>
      </c>
      <c r="C70" s="218">
        <v>2.5</v>
      </c>
      <c r="D70" s="216">
        <v>213</v>
      </c>
      <c r="E70" s="280">
        <f>D70/C70</f>
        <v>85.2</v>
      </c>
    </row>
    <row r="71" spans="2:5" x14ac:dyDescent="0.25">
      <c r="B71" t="s">
        <v>68</v>
      </c>
      <c r="C71" s="218">
        <v>2.5</v>
      </c>
      <c r="D71" s="216">
        <v>228</v>
      </c>
      <c r="E71" s="240">
        <f t="shared" ref="E71" si="9">D71/C71</f>
        <v>91.2</v>
      </c>
    </row>
    <row r="72" spans="2:5" x14ac:dyDescent="0.25">
      <c r="B72" s="5" t="s">
        <v>69</v>
      </c>
      <c r="C72" s="219">
        <v>0</v>
      </c>
      <c r="D72" s="217">
        <v>340</v>
      </c>
      <c r="E72" s="241" t="s">
        <v>58</v>
      </c>
    </row>
    <row r="73" spans="2:5" x14ac:dyDescent="0.25">
      <c r="B73" t="s">
        <v>25</v>
      </c>
      <c r="C73" s="218">
        <f>SUM(C68:C72)</f>
        <v>8.5</v>
      </c>
      <c r="D73" s="237">
        <f>SUM(D68:D72)</f>
        <v>1078</v>
      </c>
      <c r="E73" s="240"/>
    </row>
    <row r="76" spans="2:5" x14ac:dyDescent="0.25">
      <c r="B76" s="9" t="s">
        <v>62</v>
      </c>
    </row>
    <row r="78" spans="2:5" x14ac:dyDescent="0.25">
      <c r="C78" s="223" t="s">
        <v>15</v>
      </c>
      <c r="D78" s="223" t="s">
        <v>16</v>
      </c>
      <c r="E78" s="224" t="s">
        <v>57</v>
      </c>
    </row>
    <row r="79" spans="2:5" x14ac:dyDescent="0.25">
      <c r="B79" t="s">
        <v>65</v>
      </c>
      <c r="C79" s="218">
        <v>1</v>
      </c>
      <c r="D79" s="225">
        <v>85</v>
      </c>
      <c r="E79" s="240">
        <f t="shared" ref="E79" si="10">D79/C79</f>
        <v>85</v>
      </c>
    </row>
    <row r="80" spans="2:5" x14ac:dyDescent="0.25">
      <c r="B80" t="s">
        <v>66</v>
      </c>
      <c r="C80" s="218">
        <v>1</v>
      </c>
      <c r="D80" s="225">
        <v>85</v>
      </c>
      <c r="E80" s="240">
        <f>D80/C80</f>
        <v>85</v>
      </c>
    </row>
    <row r="81" spans="2:8" x14ac:dyDescent="0.25">
      <c r="B81" t="s">
        <v>67</v>
      </c>
      <c r="C81" s="218">
        <v>2</v>
      </c>
      <c r="D81" s="225">
        <v>170</v>
      </c>
      <c r="E81" s="240">
        <f t="shared" ref="E81:E82" si="11">D81/C81</f>
        <v>85</v>
      </c>
    </row>
    <row r="82" spans="2:8" x14ac:dyDescent="0.25">
      <c r="B82" t="s">
        <v>68</v>
      </c>
      <c r="C82" s="218">
        <v>1.25</v>
      </c>
      <c r="D82" s="225">
        <v>114</v>
      </c>
      <c r="E82" s="240">
        <f t="shared" si="11"/>
        <v>91.2</v>
      </c>
    </row>
    <row r="83" spans="2:8" x14ac:dyDescent="0.25">
      <c r="B83" s="5" t="s">
        <v>69</v>
      </c>
      <c r="C83" s="219">
        <v>0</v>
      </c>
      <c r="D83" s="227">
        <v>340</v>
      </c>
      <c r="E83" s="241" t="s">
        <v>58</v>
      </c>
    </row>
    <row r="84" spans="2:8" x14ac:dyDescent="0.25">
      <c r="B84" t="s">
        <v>25</v>
      </c>
      <c r="C84" s="218">
        <f>SUM(C79:C83)</f>
        <v>5.25</v>
      </c>
      <c r="D84" s="242">
        <f>SUM(D79:D83)+4</f>
        <v>798</v>
      </c>
      <c r="E84" s="240"/>
    </row>
    <row r="87" spans="2:8" x14ac:dyDescent="0.25">
      <c r="B87" s="54" t="s">
        <v>39</v>
      </c>
    </row>
    <row r="89" spans="2:8" x14ac:dyDescent="0.25">
      <c r="B89" t="s">
        <v>53</v>
      </c>
      <c r="C89" t="s">
        <v>126</v>
      </c>
      <c r="E89">
        <v>16</v>
      </c>
    </row>
    <row r="91" spans="2:8" x14ac:dyDescent="0.25">
      <c r="C91" s="223" t="s">
        <v>41</v>
      </c>
      <c r="D91" s="223" t="s">
        <v>16</v>
      </c>
      <c r="E91" s="224" t="s">
        <v>47</v>
      </c>
      <c r="F91" s="224" t="s">
        <v>48</v>
      </c>
      <c r="G91" s="224" t="s">
        <v>50</v>
      </c>
      <c r="H91" s="57"/>
    </row>
    <row r="92" spans="2:8" x14ac:dyDescent="0.25">
      <c r="B92" t="s">
        <v>42</v>
      </c>
      <c r="C92" s="218">
        <v>3423</v>
      </c>
      <c r="D92" s="225">
        <v>6125</v>
      </c>
      <c r="E92" s="244">
        <f>D92/C92*1000</f>
        <v>1789.3660531697342</v>
      </c>
      <c r="F92" s="246">
        <f>D92/$D$98</f>
        <v>0.63399234033743923</v>
      </c>
      <c r="G92" s="238"/>
      <c r="H92" s="57"/>
    </row>
    <row r="93" spans="2:8" x14ac:dyDescent="0.25">
      <c r="B93" t="s">
        <v>43</v>
      </c>
      <c r="C93" s="218">
        <v>247</v>
      </c>
      <c r="D93" s="225">
        <v>494</v>
      </c>
      <c r="E93" s="244">
        <f t="shared" ref="E93:E96" si="12">D93/C93*1000</f>
        <v>2000</v>
      </c>
      <c r="F93" s="246">
        <f t="shared" ref="F93:F97" si="13">D93/$D$98</f>
        <v>5.1133423041093057E-2</v>
      </c>
      <c r="G93" s="238"/>
      <c r="H93" s="57"/>
    </row>
    <row r="94" spans="2:8" x14ac:dyDescent="0.25">
      <c r="B94" t="s">
        <v>44</v>
      </c>
      <c r="C94" s="218">
        <v>342</v>
      </c>
      <c r="D94" s="225">
        <v>685</v>
      </c>
      <c r="E94" s="244">
        <f t="shared" si="12"/>
        <v>2002.9239766081873</v>
      </c>
      <c r="F94" s="246">
        <f t="shared" si="13"/>
        <v>7.0903633164268703E-2</v>
      </c>
      <c r="G94" s="238"/>
      <c r="H94" s="57"/>
    </row>
    <row r="95" spans="2:8" x14ac:dyDescent="0.25">
      <c r="B95" t="s">
        <v>45</v>
      </c>
      <c r="C95" s="218">
        <v>102</v>
      </c>
      <c r="D95" s="225">
        <v>173</v>
      </c>
      <c r="E95" s="244">
        <f t="shared" si="12"/>
        <v>1696.0784313725489</v>
      </c>
      <c r="F95" s="246">
        <f t="shared" si="13"/>
        <v>1.7907048959735015E-2</v>
      </c>
      <c r="G95" s="238"/>
      <c r="H95" s="57"/>
    </row>
    <row r="96" spans="2:8" ht="30" x14ac:dyDescent="0.25">
      <c r="B96" s="1" t="s">
        <v>49</v>
      </c>
      <c r="C96" s="218">
        <v>342</v>
      </c>
      <c r="D96" s="225">
        <v>684</v>
      </c>
      <c r="E96" s="244">
        <f t="shared" si="12"/>
        <v>2000</v>
      </c>
      <c r="F96" s="246">
        <f t="shared" si="13"/>
        <v>7.0800124210744234E-2</v>
      </c>
      <c r="G96" s="238"/>
      <c r="H96" s="57"/>
    </row>
    <row r="97" spans="2:8" x14ac:dyDescent="0.25">
      <c r="B97" s="5" t="s">
        <v>46</v>
      </c>
      <c r="C97" s="219">
        <v>0</v>
      </c>
      <c r="D97" s="227">
        <v>1500</v>
      </c>
      <c r="E97" s="245"/>
      <c r="F97" s="247">
        <f t="shared" si="13"/>
        <v>0.15526343028671979</v>
      </c>
      <c r="G97" s="239"/>
      <c r="H97" s="249" t="s">
        <v>51</v>
      </c>
    </row>
    <row r="98" spans="2:8" x14ac:dyDescent="0.25">
      <c r="B98" t="s">
        <v>25</v>
      </c>
      <c r="C98" s="218">
        <f>SUM(C92:C97)</f>
        <v>4456</v>
      </c>
      <c r="D98" s="243">
        <f>SUM(D92:D97)</f>
        <v>9661</v>
      </c>
      <c r="E98" s="244"/>
      <c r="F98" s="248">
        <f>SUM(F92:F97)</f>
        <v>1</v>
      </c>
      <c r="G98" s="238">
        <v>15</v>
      </c>
      <c r="H98" s="250">
        <f>(D98-D97)/G98/E89*1000</f>
        <v>34004.166666666672</v>
      </c>
    </row>
    <row r="99" spans="2:8" x14ac:dyDescent="0.25">
      <c r="E99" s="57"/>
      <c r="F99" s="57"/>
      <c r="G99" s="57"/>
      <c r="H99" s="249" t="s">
        <v>125</v>
      </c>
    </row>
    <row r="101" spans="2:8" x14ac:dyDescent="0.25">
      <c r="B101" s="9" t="s">
        <v>61</v>
      </c>
    </row>
    <row r="103" spans="2:8" x14ac:dyDescent="0.25">
      <c r="C103" s="223" t="s">
        <v>15</v>
      </c>
      <c r="D103" s="223" t="s">
        <v>16</v>
      </c>
      <c r="E103" s="224" t="s">
        <v>57</v>
      </c>
      <c r="F103" s="57"/>
      <c r="G103" s="57"/>
    </row>
    <row r="104" spans="2:8" x14ac:dyDescent="0.25">
      <c r="B104" t="s">
        <v>17</v>
      </c>
      <c r="C104" s="218">
        <v>5</v>
      </c>
      <c r="D104" s="225">
        <f>(1*140)+(4*100)</f>
        <v>540</v>
      </c>
      <c r="E104" s="251" t="s">
        <v>112</v>
      </c>
      <c r="F104" s="246"/>
      <c r="G104" s="57"/>
    </row>
    <row r="105" spans="2:8" x14ac:dyDescent="0.25">
      <c r="B105" t="s">
        <v>18</v>
      </c>
      <c r="C105" s="218">
        <v>1</v>
      </c>
      <c r="D105" s="225">
        <f>(0.5*140)+(0.5*100)</f>
        <v>120</v>
      </c>
      <c r="E105" s="252" t="s">
        <v>113</v>
      </c>
      <c r="F105" s="57"/>
      <c r="G105" s="57"/>
    </row>
    <row r="106" spans="2:8" x14ac:dyDescent="0.25">
      <c r="B106" t="s">
        <v>19</v>
      </c>
      <c r="C106" s="218">
        <v>1</v>
      </c>
      <c r="D106" s="225">
        <f t="shared" ref="D106" si="14">C106*E106</f>
        <v>100</v>
      </c>
      <c r="E106" s="253">
        <v>100</v>
      </c>
      <c r="F106" s="57"/>
      <c r="G106" s="57"/>
    </row>
    <row r="107" spans="2:8" x14ac:dyDescent="0.25">
      <c r="B107" t="s">
        <v>20</v>
      </c>
      <c r="C107" s="218">
        <v>5</v>
      </c>
      <c r="D107" s="225">
        <f>(1*140)+(4*100)</f>
        <v>540</v>
      </c>
      <c r="E107" s="252" t="s">
        <v>112</v>
      </c>
      <c r="F107" s="57"/>
      <c r="G107" s="57"/>
    </row>
    <row r="108" spans="2:8" x14ac:dyDescent="0.25">
      <c r="B108" t="s">
        <v>21</v>
      </c>
      <c r="C108" s="218">
        <v>0.5</v>
      </c>
      <c r="D108" s="225">
        <f t="shared" ref="D108:D111" si="15">C108*E108</f>
        <v>50</v>
      </c>
      <c r="E108" s="253">
        <v>100</v>
      </c>
      <c r="F108" s="57"/>
      <c r="G108" s="57"/>
    </row>
    <row r="109" spans="2:8" x14ac:dyDescent="0.25">
      <c r="B109" t="s">
        <v>24</v>
      </c>
      <c r="C109" s="218">
        <v>1</v>
      </c>
      <c r="D109" s="225">
        <f t="shared" si="15"/>
        <v>100</v>
      </c>
      <c r="E109" s="253">
        <v>100</v>
      </c>
      <c r="F109" s="57"/>
      <c r="G109" s="57"/>
    </row>
    <row r="110" spans="2:8" x14ac:dyDescent="0.25">
      <c r="B110" t="s">
        <v>23</v>
      </c>
      <c r="C110" s="218">
        <v>0.75</v>
      </c>
      <c r="D110" s="225">
        <f t="shared" si="15"/>
        <v>75</v>
      </c>
      <c r="E110" s="253">
        <v>100</v>
      </c>
      <c r="F110" s="57"/>
      <c r="G110" s="57"/>
    </row>
    <row r="111" spans="2:8" x14ac:dyDescent="0.25">
      <c r="B111" s="5" t="s">
        <v>22</v>
      </c>
      <c r="C111" s="219">
        <v>0</v>
      </c>
      <c r="D111" s="227">
        <f t="shared" si="15"/>
        <v>0</v>
      </c>
      <c r="E111" s="254">
        <v>200</v>
      </c>
      <c r="F111" s="247"/>
      <c r="G111" s="239"/>
    </row>
    <row r="112" spans="2:8" x14ac:dyDescent="0.25">
      <c r="B112" t="s">
        <v>25</v>
      </c>
      <c r="C112" s="218">
        <f>SUM(C104:C111)</f>
        <v>14.25</v>
      </c>
      <c r="D112" s="243">
        <f>SUM(D104:D111)</f>
        <v>1525</v>
      </c>
      <c r="E112" s="244"/>
      <c r="F112" s="248"/>
      <c r="G112" s="238"/>
    </row>
    <row r="115" spans="2:7" x14ac:dyDescent="0.25">
      <c r="B115" s="9" t="s">
        <v>62</v>
      </c>
    </row>
    <row r="117" spans="2:7" x14ac:dyDescent="0.25">
      <c r="C117" s="223" t="s">
        <v>15</v>
      </c>
      <c r="D117" s="223" t="s">
        <v>16</v>
      </c>
      <c r="E117" s="224" t="s">
        <v>57</v>
      </c>
      <c r="F117" s="57"/>
      <c r="G117" s="57"/>
    </row>
    <row r="118" spans="2:7" x14ac:dyDescent="0.25">
      <c r="B118" t="s">
        <v>17</v>
      </c>
      <c r="C118" s="218">
        <v>3</v>
      </c>
      <c r="D118" s="225">
        <f>(0.5*140)+(2.5*100)</f>
        <v>320</v>
      </c>
      <c r="E118" s="59" t="s">
        <v>121</v>
      </c>
      <c r="F118" s="57"/>
      <c r="G118" s="57"/>
    </row>
    <row r="119" spans="2:7" x14ac:dyDescent="0.25">
      <c r="B119" t="s">
        <v>18</v>
      </c>
      <c r="C119" s="218">
        <v>0.5</v>
      </c>
      <c r="D119" s="225">
        <f t="shared" ref="D119:D125" si="16">C119*E119</f>
        <v>50</v>
      </c>
      <c r="E119" s="230">
        <v>100</v>
      </c>
      <c r="F119" s="57"/>
      <c r="G119" s="57"/>
    </row>
    <row r="120" spans="2:7" x14ac:dyDescent="0.25">
      <c r="B120" t="s">
        <v>19</v>
      </c>
      <c r="C120" s="218">
        <v>1</v>
      </c>
      <c r="D120" s="225">
        <f t="shared" si="16"/>
        <v>100</v>
      </c>
      <c r="E120" s="230">
        <v>100</v>
      </c>
      <c r="F120" s="57"/>
      <c r="G120" s="57"/>
    </row>
    <row r="121" spans="2:7" x14ac:dyDescent="0.25">
      <c r="B121" t="s">
        <v>20</v>
      </c>
      <c r="C121" s="218">
        <v>0.5</v>
      </c>
      <c r="D121" s="225">
        <f t="shared" si="16"/>
        <v>50</v>
      </c>
      <c r="E121" s="230">
        <v>100</v>
      </c>
      <c r="F121" s="57"/>
      <c r="G121" s="57"/>
    </row>
    <row r="122" spans="2:7" x14ac:dyDescent="0.25">
      <c r="B122" t="s">
        <v>21</v>
      </c>
      <c r="C122" s="218">
        <v>0.1</v>
      </c>
      <c r="D122" s="225">
        <f t="shared" si="16"/>
        <v>10</v>
      </c>
      <c r="E122" s="230">
        <v>100</v>
      </c>
      <c r="F122" s="57"/>
      <c r="G122" s="57"/>
    </row>
    <row r="123" spans="2:7" x14ac:dyDescent="0.25">
      <c r="B123" t="s">
        <v>24</v>
      </c>
      <c r="C123" s="218">
        <v>0.5</v>
      </c>
      <c r="D123" s="225">
        <f t="shared" si="16"/>
        <v>50</v>
      </c>
      <c r="E123" s="230">
        <v>100</v>
      </c>
      <c r="F123" s="57"/>
      <c r="G123" s="57"/>
    </row>
    <row r="124" spans="2:7" x14ac:dyDescent="0.25">
      <c r="B124" t="s">
        <v>23</v>
      </c>
      <c r="C124" s="218">
        <v>0.25</v>
      </c>
      <c r="D124" s="225">
        <f t="shared" si="16"/>
        <v>25</v>
      </c>
      <c r="E124" s="230">
        <v>100</v>
      </c>
      <c r="F124" s="57"/>
      <c r="G124" s="57"/>
    </row>
    <row r="125" spans="2:7" x14ac:dyDescent="0.25">
      <c r="B125" s="5" t="s">
        <v>22</v>
      </c>
      <c r="C125" s="219">
        <v>1</v>
      </c>
      <c r="D125" s="227">
        <f t="shared" si="16"/>
        <v>200</v>
      </c>
      <c r="E125" s="255">
        <v>200</v>
      </c>
      <c r="F125" s="57"/>
      <c r="G125" s="57"/>
    </row>
    <row r="126" spans="2:7" x14ac:dyDescent="0.25">
      <c r="B126" t="s">
        <v>25</v>
      </c>
      <c r="C126" s="218">
        <f>SUM(C118:C125)</f>
        <v>6.85</v>
      </c>
      <c r="D126" s="243">
        <f>SUM(D118:D125)</f>
        <v>805</v>
      </c>
      <c r="E126" s="57"/>
      <c r="F126" s="57"/>
      <c r="G126" s="57"/>
    </row>
    <row r="129" spans="2:6" x14ac:dyDescent="0.25">
      <c r="B129" s="55" t="s">
        <v>55</v>
      </c>
      <c r="C129" s="19"/>
    </row>
    <row r="131" spans="2:6" x14ac:dyDescent="0.25">
      <c r="B131" s="8" t="s">
        <v>59</v>
      </c>
    </row>
    <row r="133" spans="2:6" x14ac:dyDescent="0.25">
      <c r="B133" s="9" t="s">
        <v>10</v>
      </c>
    </row>
    <row r="135" spans="2:6" x14ac:dyDescent="0.25">
      <c r="C135" s="223" t="s">
        <v>41</v>
      </c>
      <c r="D135" s="223" t="s">
        <v>16</v>
      </c>
      <c r="E135" s="224" t="s">
        <v>47</v>
      </c>
      <c r="F135" s="224" t="s">
        <v>48</v>
      </c>
    </row>
    <row r="136" spans="2:6" x14ac:dyDescent="0.25">
      <c r="B136" t="s">
        <v>42</v>
      </c>
      <c r="C136" s="218">
        <v>849</v>
      </c>
      <c r="D136" s="256">
        <v>1529</v>
      </c>
      <c r="E136" s="244">
        <f>D136/C136*1000</f>
        <v>1800.942285041225</v>
      </c>
      <c r="F136" s="259">
        <f>D136/$D$142</f>
        <v>0.75024533856722275</v>
      </c>
    </row>
    <row r="137" spans="2:6" x14ac:dyDescent="0.25">
      <c r="B137" t="s">
        <v>43</v>
      </c>
      <c r="C137" s="218">
        <v>61</v>
      </c>
      <c r="D137" s="256">
        <v>121</v>
      </c>
      <c r="E137" s="244">
        <f t="shared" ref="E137:E140" si="17">D137/C137*1000</f>
        <v>1983.6065573770491</v>
      </c>
      <c r="F137" s="259">
        <f t="shared" ref="F137:F140" si="18">D137/$D$142</f>
        <v>5.9371933267909717E-2</v>
      </c>
    </row>
    <row r="138" spans="2:6" x14ac:dyDescent="0.25">
      <c r="B138" t="s">
        <v>44</v>
      </c>
      <c r="C138" s="218">
        <v>85</v>
      </c>
      <c r="D138" s="256">
        <v>170</v>
      </c>
      <c r="E138" s="244">
        <f t="shared" si="17"/>
        <v>2000</v>
      </c>
      <c r="F138" s="259">
        <f t="shared" si="18"/>
        <v>8.3415112855740922E-2</v>
      </c>
    </row>
    <row r="139" spans="2:6" x14ac:dyDescent="0.25">
      <c r="B139" t="s">
        <v>45</v>
      </c>
      <c r="C139" s="218">
        <v>29</v>
      </c>
      <c r="D139" s="256">
        <v>48</v>
      </c>
      <c r="E139" s="244">
        <f t="shared" si="17"/>
        <v>1655.1724137931035</v>
      </c>
      <c r="F139" s="259">
        <f t="shared" si="18"/>
        <v>2.3552502453385672E-2</v>
      </c>
    </row>
    <row r="140" spans="2:6" ht="30" x14ac:dyDescent="0.25">
      <c r="B140" s="1" t="s">
        <v>49</v>
      </c>
      <c r="C140" s="218">
        <v>85</v>
      </c>
      <c r="D140" s="256">
        <v>170</v>
      </c>
      <c r="E140" s="244">
        <f t="shared" si="17"/>
        <v>2000</v>
      </c>
      <c r="F140" s="259">
        <f t="shared" si="18"/>
        <v>8.3415112855740922E-2</v>
      </c>
    </row>
    <row r="141" spans="2:6" x14ac:dyDescent="0.25">
      <c r="B141" s="5" t="s">
        <v>46</v>
      </c>
      <c r="C141" s="219">
        <v>0</v>
      </c>
      <c r="D141" s="257">
        <v>0</v>
      </c>
      <c r="E141" s="245"/>
      <c r="F141" s="260">
        <f>D141/$D$142</f>
        <v>0</v>
      </c>
    </row>
    <row r="142" spans="2:6" x14ac:dyDescent="0.25">
      <c r="B142" t="s">
        <v>25</v>
      </c>
      <c r="C142" s="10">
        <f>SUM(C136:C141)</f>
        <v>1109</v>
      </c>
      <c r="D142" s="258">
        <f>SUM(D136:D141)</f>
        <v>2038</v>
      </c>
      <c r="E142" s="244"/>
      <c r="F142" s="261">
        <f>SUM(F136:F141)</f>
        <v>0.99999999999999989</v>
      </c>
    </row>
    <row r="145" spans="2:6" x14ac:dyDescent="0.25">
      <c r="B145" s="9" t="s">
        <v>11</v>
      </c>
    </row>
    <row r="147" spans="2:6" x14ac:dyDescent="0.25">
      <c r="C147" s="223" t="s">
        <v>41</v>
      </c>
      <c r="D147" s="223" t="s">
        <v>16</v>
      </c>
      <c r="E147" s="224" t="s">
        <v>47</v>
      </c>
      <c r="F147" s="224" t="s">
        <v>48</v>
      </c>
    </row>
    <row r="148" spans="2:6" x14ac:dyDescent="0.25">
      <c r="B148" t="s">
        <v>42</v>
      </c>
      <c r="C148" s="218">
        <v>1698</v>
      </c>
      <c r="D148" s="256">
        <v>3058</v>
      </c>
      <c r="E148" s="244">
        <f>D148/C148*1000</f>
        <v>1800.942285041225</v>
      </c>
      <c r="F148" s="259">
        <f>D148/$D$154</f>
        <v>0.75024533856722275</v>
      </c>
    </row>
    <row r="149" spans="2:6" x14ac:dyDescent="0.25">
      <c r="B149" t="s">
        <v>43</v>
      </c>
      <c r="C149" s="218">
        <v>122</v>
      </c>
      <c r="D149" s="256">
        <v>242</v>
      </c>
      <c r="E149" s="244">
        <f t="shared" ref="E149:E152" si="19">D149/C149*1000</f>
        <v>1983.6065573770491</v>
      </c>
      <c r="F149" s="259">
        <f t="shared" ref="F149:F152" si="20">D149/$D$154</f>
        <v>5.9371933267909717E-2</v>
      </c>
    </row>
    <row r="150" spans="2:6" x14ac:dyDescent="0.25">
      <c r="B150" t="s">
        <v>44</v>
      </c>
      <c r="C150" s="218">
        <v>170</v>
      </c>
      <c r="D150" s="256">
        <v>340</v>
      </c>
      <c r="E150" s="244">
        <f t="shared" si="19"/>
        <v>2000</v>
      </c>
      <c r="F150" s="259">
        <f t="shared" si="20"/>
        <v>8.3415112855740922E-2</v>
      </c>
    </row>
    <row r="151" spans="2:6" x14ac:dyDescent="0.25">
      <c r="B151" t="s">
        <v>45</v>
      </c>
      <c r="C151" s="218">
        <v>58</v>
      </c>
      <c r="D151" s="256">
        <v>96</v>
      </c>
      <c r="E151" s="244">
        <f t="shared" si="19"/>
        <v>1655.1724137931035</v>
      </c>
      <c r="F151" s="259">
        <f t="shared" si="20"/>
        <v>2.3552502453385672E-2</v>
      </c>
    </row>
    <row r="152" spans="2:6" ht="30" x14ac:dyDescent="0.25">
      <c r="B152" s="1" t="s">
        <v>49</v>
      </c>
      <c r="C152" s="218">
        <v>170</v>
      </c>
      <c r="D152" s="256">
        <v>340</v>
      </c>
      <c r="E152" s="244">
        <f t="shared" si="19"/>
        <v>2000</v>
      </c>
      <c r="F152" s="259">
        <f t="shared" si="20"/>
        <v>8.3415112855740922E-2</v>
      </c>
    </row>
    <row r="153" spans="2:6" x14ac:dyDescent="0.25">
      <c r="B153" s="5" t="s">
        <v>46</v>
      </c>
      <c r="C153" s="219">
        <v>0</v>
      </c>
      <c r="D153" s="257">
        <v>0</v>
      </c>
      <c r="E153" s="245"/>
      <c r="F153" s="260">
        <f>D153/$D$154</f>
        <v>0</v>
      </c>
    </row>
    <row r="154" spans="2:6" x14ac:dyDescent="0.25">
      <c r="B154" t="s">
        <v>25</v>
      </c>
      <c r="C154" s="10">
        <f>SUM(C148:C153)</f>
        <v>2218</v>
      </c>
      <c r="D154" s="258">
        <f>SUM(D148:D153)</f>
        <v>4076</v>
      </c>
      <c r="E154" s="244"/>
      <c r="F154" s="261">
        <f>SUM(F148:F153)</f>
        <v>0.99999999999999989</v>
      </c>
    </row>
    <row r="157" spans="2:6" x14ac:dyDescent="0.25">
      <c r="B157" s="8" t="s">
        <v>54</v>
      </c>
    </row>
    <row r="159" spans="2:6" x14ac:dyDescent="0.25">
      <c r="B159" s="9" t="s">
        <v>61</v>
      </c>
    </row>
    <row r="161" spans="2:7" x14ac:dyDescent="0.25">
      <c r="C161" s="223" t="s">
        <v>15</v>
      </c>
      <c r="D161" s="223" t="s">
        <v>16</v>
      </c>
      <c r="E161" s="224" t="s">
        <v>57</v>
      </c>
      <c r="F161" s="224"/>
      <c r="G161" s="57"/>
    </row>
    <row r="162" spans="2:7" x14ac:dyDescent="0.25">
      <c r="B162" t="s">
        <v>17</v>
      </c>
      <c r="C162" s="218">
        <v>4</v>
      </c>
      <c r="D162" s="256">
        <f>(0.5*140)+(3.5*100)</f>
        <v>420</v>
      </c>
      <c r="E162" s="244" t="s">
        <v>123</v>
      </c>
      <c r="F162" s="259"/>
      <c r="G162" s="57"/>
    </row>
    <row r="163" spans="2:7" x14ac:dyDescent="0.25">
      <c r="B163" t="s">
        <v>18</v>
      </c>
      <c r="C163" s="218">
        <v>1</v>
      </c>
      <c r="D163" s="256">
        <f>(0.5*140)+(0.5*100)</f>
        <v>120</v>
      </c>
      <c r="E163" s="244" t="s">
        <v>113</v>
      </c>
      <c r="F163" s="259"/>
      <c r="G163" s="57"/>
    </row>
    <row r="164" spans="2:7" x14ac:dyDescent="0.25">
      <c r="B164" t="s">
        <v>19</v>
      </c>
      <c r="C164" s="218">
        <v>0.5</v>
      </c>
      <c r="D164" s="256">
        <f>C164*E164</f>
        <v>50</v>
      </c>
      <c r="E164" s="244">
        <v>100</v>
      </c>
      <c r="F164" s="259"/>
      <c r="G164" s="57"/>
    </row>
    <row r="165" spans="2:7" x14ac:dyDescent="0.25">
      <c r="B165" t="s">
        <v>20</v>
      </c>
      <c r="C165" s="218">
        <v>1</v>
      </c>
      <c r="D165" s="256">
        <f t="shared" ref="D165:D166" si="21">C165*E165</f>
        <v>100</v>
      </c>
      <c r="E165" s="244">
        <v>100</v>
      </c>
      <c r="F165" s="259"/>
      <c r="G165" s="57"/>
    </row>
    <row r="166" spans="2:7" x14ac:dyDescent="0.25">
      <c r="B166" t="s">
        <v>21</v>
      </c>
      <c r="C166" s="218">
        <v>0.1</v>
      </c>
      <c r="D166" s="256">
        <f t="shared" si="21"/>
        <v>10</v>
      </c>
      <c r="E166" s="244">
        <v>100</v>
      </c>
      <c r="F166" s="259"/>
      <c r="G166" s="57"/>
    </row>
    <row r="167" spans="2:7" x14ac:dyDescent="0.25">
      <c r="B167" t="s">
        <v>24</v>
      </c>
      <c r="C167" s="218">
        <v>0</v>
      </c>
      <c r="D167" s="256">
        <v>0</v>
      </c>
      <c r="E167" s="262" t="s">
        <v>58</v>
      </c>
      <c r="F167" s="259"/>
      <c r="G167" s="57"/>
    </row>
    <row r="168" spans="2:7" x14ac:dyDescent="0.25">
      <c r="B168" t="s">
        <v>23</v>
      </c>
      <c r="C168" s="218">
        <v>0</v>
      </c>
      <c r="D168" s="256">
        <v>0</v>
      </c>
      <c r="E168" s="262" t="s">
        <v>58</v>
      </c>
      <c r="F168" s="259"/>
      <c r="G168" s="57"/>
    </row>
    <row r="169" spans="2:7" x14ac:dyDescent="0.25">
      <c r="B169" s="5" t="s">
        <v>22</v>
      </c>
      <c r="C169" s="219">
        <v>0</v>
      </c>
      <c r="D169" s="257">
        <v>0</v>
      </c>
      <c r="E169" s="263" t="s">
        <v>58</v>
      </c>
      <c r="F169" s="260"/>
      <c r="G169" s="57"/>
    </row>
    <row r="170" spans="2:7" x14ac:dyDescent="0.25">
      <c r="B170" t="s">
        <v>25</v>
      </c>
      <c r="C170" s="10">
        <f>SUM(C162:C169)</f>
        <v>6.6</v>
      </c>
      <c r="D170" s="258">
        <f>SUM(D162:D169)</f>
        <v>700</v>
      </c>
      <c r="E170" s="244"/>
      <c r="F170" s="261"/>
      <c r="G170" s="57"/>
    </row>
    <row r="172" spans="2:7" x14ac:dyDescent="0.25">
      <c r="B172" s="9" t="s">
        <v>62</v>
      </c>
    </row>
    <row r="174" spans="2:7" x14ac:dyDescent="0.25">
      <c r="C174" s="223" t="s">
        <v>15</v>
      </c>
      <c r="D174" s="223" t="s">
        <v>16</v>
      </c>
      <c r="E174" s="224" t="s">
        <v>57</v>
      </c>
      <c r="F174" s="224"/>
      <c r="G174" s="57"/>
    </row>
    <row r="175" spans="2:7" x14ac:dyDescent="0.25">
      <c r="B175" t="s">
        <v>17</v>
      </c>
      <c r="C175" s="218">
        <v>2</v>
      </c>
      <c r="D175" s="256">
        <f>(0.5*140)+(1.5*100)</f>
        <v>220</v>
      </c>
      <c r="E175" s="244" t="s">
        <v>124</v>
      </c>
      <c r="F175" s="259"/>
      <c r="G175" s="57"/>
    </row>
    <row r="176" spans="2:7" x14ac:dyDescent="0.25">
      <c r="B176" t="s">
        <v>18</v>
      </c>
      <c r="C176" s="218">
        <v>0.5</v>
      </c>
      <c r="D176" s="256">
        <f t="shared" ref="D176:D179" si="22">C176*E176</f>
        <v>50</v>
      </c>
      <c r="E176" s="244">
        <v>100</v>
      </c>
      <c r="F176" s="259"/>
      <c r="G176" s="57"/>
    </row>
    <row r="177" spans="2:7" x14ac:dyDescent="0.25">
      <c r="B177" t="s">
        <v>19</v>
      </c>
      <c r="C177" s="218">
        <v>0.5</v>
      </c>
      <c r="D177" s="256">
        <f t="shared" si="22"/>
        <v>50</v>
      </c>
      <c r="E177" s="244">
        <v>100</v>
      </c>
      <c r="F177" s="259"/>
      <c r="G177" s="57"/>
    </row>
    <row r="178" spans="2:7" x14ac:dyDescent="0.25">
      <c r="B178" t="s">
        <v>20</v>
      </c>
      <c r="C178" s="218">
        <v>1</v>
      </c>
      <c r="D178" s="256">
        <f t="shared" si="22"/>
        <v>100</v>
      </c>
      <c r="E178" s="244">
        <v>100</v>
      </c>
      <c r="F178" s="259"/>
      <c r="G178" s="57"/>
    </row>
    <row r="179" spans="2:7" x14ac:dyDescent="0.25">
      <c r="B179" t="s">
        <v>21</v>
      </c>
      <c r="C179" s="218">
        <v>0.1</v>
      </c>
      <c r="D179" s="256">
        <f t="shared" si="22"/>
        <v>10</v>
      </c>
      <c r="E179" s="244">
        <v>100</v>
      </c>
      <c r="F179" s="259"/>
      <c r="G179" s="57"/>
    </row>
    <row r="180" spans="2:7" x14ac:dyDescent="0.25">
      <c r="B180" t="s">
        <v>24</v>
      </c>
      <c r="C180" s="218">
        <v>0</v>
      </c>
      <c r="D180" s="256">
        <v>0</v>
      </c>
      <c r="E180" s="262" t="s">
        <v>58</v>
      </c>
      <c r="F180" s="259"/>
      <c r="G180" s="57"/>
    </row>
    <row r="181" spans="2:7" x14ac:dyDescent="0.25">
      <c r="B181" t="s">
        <v>23</v>
      </c>
      <c r="C181" s="218">
        <v>0</v>
      </c>
      <c r="D181" s="256">
        <v>0</v>
      </c>
      <c r="E181" s="262" t="s">
        <v>58</v>
      </c>
      <c r="F181" s="259"/>
      <c r="G181" s="57"/>
    </row>
    <row r="182" spans="2:7" x14ac:dyDescent="0.25">
      <c r="B182" s="5" t="s">
        <v>22</v>
      </c>
      <c r="C182" s="219">
        <v>0</v>
      </c>
      <c r="D182" s="257">
        <v>0</v>
      </c>
      <c r="E182" s="263" t="s">
        <v>58</v>
      </c>
      <c r="F182" s="260"/>
      <c r="G182" s="57"/>
    </row>
    <row r="183" spans="2:7" x14ac:dyDescent="0.25">
      <c r="B183" t="s">
        <v>25</v>
      </c>
      <c r="C183" s="10">
        <f>SUM(C175:C182)</f>
        <v>4.0999999999999996</v>
      </c>
      <c r="D183" s="258">
        <f>SUM(D175:D182)</f>
        <v>430</v>
      </c>
      <c r="E183" s="244"/>
      <c r="F183" s="261"/>
      <c r="G183" s="57"/>
    </row>
    <row r="186" spans="2:7" x14ac:dyDescent="0.25">
      <c r="B186" s="56" t="s">
        <v>56</v>
      </c>
      <c r="C186" s="7"/>
    </row>
    <row r="188" spans="2:7" x14ac:dyDescent="0.25">
      <c r="B188" s="8" t="s">
        <v>59</v>
      </c>
    </row>
    <row r="190" spans="2:7" x14ac:dyDescent="0.25">
      <c r="B190" s="9" t="s">
        <v>10</v>
      </c>
    </row>
    <row r="192" spans="2:7" x14ac:dyDescent="0.25">
      <c r="C192" s="223" t="s">
        <v>41</v>
      </c>
      <c r="D192" s="223" t="s">
        <v>16</v>
      </c>
      <c r="E192" s="223" t="s">
        <v>47</v>
      </c>
      <c r="F192" s="223" t="s">
        <v>48</v>
      </c>
    </row>
    <row r="193" spans="2:6" x14ac:dyDescent="0.25">
      <c r="B193" t="s">
        <v>42</v>
      </c>
      <c r="C193" s="218" t="s">
        <v>122</v>
      </c>
      <c r="D193" s="218" t="s">
        <v>122</v>
      </c>
      <c r="E193" s="218" t="e">
        <f>D193/C193*1000</f>
        <v>#VALUE!</v>
      </c>
      <c r="F193" s="218" t="e">
        <f>D193/$D$98</f>
        <v>#VALUE!</v>
      </c>
    </row>
    <row r="194" spans="2:6" x14ac:dyDescent="0.25">
      <c r="B194" t="s">
        <v>43</v>
      </c>
      <c r="C194" s="218" t="s">
        <v>122</v>
      </c>
      <c r="D194" s="218" t="s">
        <v>122</v>
      </c>
      <c r="E194" s="218" t="e">
        <f t="shared" ref="E194:E197" si="23">D194/C194*1000</f>
        <v>#VALUE!</v>
      </c>
      <c r="F194" s="218" t="e">
        <f t="shared" ref="F194:F198" si="24">D194/$D$98</f>
        <v>#VALUE!</v>
      </c>
    </row>
    <row r="195" spans="2:6" x14ac:dyDescent="0.25">
      <c r="B195" t="s">
        <v>44</v>
      </c>
      <c r="C195" s="218" t="s">
        <v>122</v>
      </c>
      <c r="D195" s="218" t="s">
        <v>122</v>
      </c>
      <c r="E195" s="218" t="e">
        <f t="shared" si="23"/>
        <v>#VALUE!</v>
      </c>
      <c r="F195" s="218" t="e">
        <f t="shared" si="24"/>
        <v>#VALUE!</v>
      </c>
    </row>
    <row r="196" spans="2:6" x14ac:dyDescent="0.25">
      <c r="B196" t="s">
        <v>45</v>
      </c>
      <c r="C196" s="218" t="s">
        <v>122</v>
      </c>
      <c r="D196" s="218" t="s">
        <v>122</v>
      </c>
      <c r="E196" s="218" t="e">
        <f t="shared" si="23"/>
        <v>#VALUE!</v>
      </c>
      <c r="F196" s="218" t="e">
        <f t="shared" si="24"/>
        <v>#VALUE!</v>
      </c>
    </row>
    <row r="197" spans="2:6" ht="30" x14ac:dyDescent="0.25">
      <c r="B197" s="1" t="s">
        <v>49</v>
      </c>
      <c r="C197" s="218" t="s">
        <v>122</v>
      </c>
      <c r="D197" s="218" t="s">
        <v>122</v>
      </c>
      <c r="E197" s="218" t="e">
        <f t="shared" si="23"/>
        <v>#VALUE!</v>
      </c>
      <c r="F197" s="218" t="e">
        <f t="shared" si="24"/>
        <v>#VALUE!</v>
      </c>
    </row>
    <row r="198" spans="2:6" x14ac:dyDescent="0.25">
      <c r="B198" s="5" t="s">
        <v>46</v>
      </c>
      <c r="C198" s="219" t="s">
        <v>122</v>
      </c>
      <c r="D198" s="219" t="s">
        <v>122</v>
      </c>
      <c r="E198" s="219"/>
      <c r="F198" s="219" t="e">
        <f t="shared" si="24"/>
        <v>#VALUE!</v>
      </c>
    </row>
    <row r="199" spans="2:6" x14ac:dyDescent="0.25">
      <c r="B199" t="s">
        <v>25</v>
      </c>
      <c r="C199" s="10">
        <f>SUM(C193:C198)</f>
        <v>0</v>
      </c>
      <c r="D199" s="265">
        <v>500</v>
      </c>
      <c r="F199" s="6" t="e">
        <f>SUM(F193:F198)</f>
        <v>#VALUE!</v>
      </c>
    </row>
    <row r="201" spans="2:6" x14ac:dyDescent="0.25">
      <c r="B201" s="9" t="s">
        <v>11</v>
      </c>
    </row>
    <row r="203" spans="2:6" x14ac:dyDescent="0.25">
      <c r="C203" s="223" t="s">
        <v>41</v>
      </c>
      <c r="D203" s="223" t="s">
        <v>16</v>
      </c>
      <c r="E203" s="223" t="s">
        <v>47</v>
      </c>
      <c r="F203" s="223" t="s">
        <v>48</v>
      </c>
    </row>
    <row r="204" spans="2:6" x14ac:dyDescent="0.25">
      <c r="B204" t="s">
        <v>42</v>
      </c>
      <c r="C204" s="218" t="s">
        <v>122</v>
      </c>
      <c r="D204" s="218" t="s">
        <v>122</v>
      </c>
      <c r="E204" s="218" t="e">
        <f>D204/C204*1000</f>
        <v>#VALUE!</v>
      </c>
      <c r="F204" s="218" t="e">
        <f>D204/$D$98</f>
        <v>#VALUE!</v>
      </c>
    </row>
    <row r="205" spans="2:6" x14ac:dyDescent="0.25">
      <c r="B205" t="s">
        <v>43</v>
      </c>
      <c r="C205" s="218" t="s">
        <v>122</v>
      </c>
      <c r="D205" s="218" t="s">
        <v>122</v>
      </c>
      <c r="E205" s="218" t="e">
        <f t="shared" ref="E205:E208" si="25">D205/C205*1000</f>
        <v>#VALUE!</v>
      </c>
      <c r="F205" s="218" t="e">
        <f t="shared" ref="F205:F209" si="26">D205/$D$98</f>
        <v>#VALUE!</v>
      </c>
    </row>
    <row r="206" spans="2:6" x14ac:dyDescent="0.25">
      <c r="B206" t="s">
        <v>44</v>
      </c>
      <c r="C206" s="218" t="s">
        <v>122</v>
      </c>
      <c r="D206" s="218" t="s">
        <v>122</v>
      </c>
      <c r="E206" s="218" t="e">
        <f t="shared" si="25"/>
        <v>#VALUE!</v>
      </c>
      <c r="F206" s="218" t="e">
        <f t="shared" si="26"/>
        <v>#VALUE!</v>
      </c>
    </row>
    <row r="207" spans="2:6" x14ac:dyDescent="0.25">
      <c r="B207" t="s">
        <v>45</v>
      </c>
      <c r="C207" s="218" t="s">
        <v>122</v>
      </c>
      <c r="D207" s="218" t="s">
        <v>122</v>
      </c>
      <c r="E207" s="218" t="e">
        <f t="shared" si="25"/>
        <v>#VALUE!</v>
      </c>
      <c r="F207" s="218" t="e">
        <f t="shared" si="26"/>
        <v>#VALUE!</v>
      </c>
    </row>
    <row r="208" spans="2:6" ht="30" x14ac:dyDescent="0.25">
      <c r="B208" s="1" t="s">
        <v>49</v>
      </c>
      <c r="C208" s="218" t="s">
        <v>122</v>
      </c>
      <c r="D208" s="218" t="s">
        <v>122</v>
      </c>
      <c r="E208" s="218" t="e">
        <f t="shared" si="25"/>
        <v>#VALUE!</v>
      </c>
      <c r="F208" s="218" t="e">
        <f t="shared" si="26"/>
        <v>#VALUE!</v>
      </c>
    </row>
    <row r="209" spans="2:6" x14ac:dyDescent="0.25">
      <c r="B209" s="5" t="s">
        <v>46</v>
      </c>
      <c r="C209" s="219" t="s">
        <v>122</v>
      </c>
      <c r="D209" s="219" t="s">
        <v>122</v>
      </c>
      <c r="E209" s="219"/>
      <c r="F209" s="219" t="e">
        <f t="shared" si="26"/>
        <v>#VALUE!</v>
      </c>
    </row>
    <row r="210" spans="2:6" x14ac:dyDescent="0.25">
      <c r="B210" t="s">
        <v>25</v>
      </c>
      <c r="C210" s="10">
        <f>SUM(C204:C209)</f>
        <v>0</v>
      </c>
      <c r="D210" s="265">
        <v>2000</v>
      </c>
      <c r="F210" s="6" t="e">
        <f>SUM(F204:F209)</f>
        <v>#VALUE!</v>
      </c>
    </row>
    <row r="213" spans="2:6" x14ac:dyDescent="0.25">
      <c r="B213" s="8" t="s">
        <v>54</v>
      </c>
    </row>
    <row r="215" spans="2:6" x14ac:dyDescent="0.25">
      <c r="B215" s="9" t="s">
        <v>61</v>
      </c>
    </row>
    <row r="217" spans="2:6" x14ac:dyDescent="0.25">
      <c r="C217" s="223" t="s">
        <v>15</v>
      </c>
      <c r="D217" s="223" t="s">
        <v>16</v>
      </c>
      <c r="E217" s="224" t="s">
        <v>57</v>
      </c>
    </row>
    <row r="218" spans="2:6" x14ac:dyDescent="0.25">
      <c r="B218" t="s">
        <v>17</v>
      </c>
      <c r="C218" s="10">
        <v>4</v>
      </c>
      <c r="D218" s="268">
        <f>C218*E218</f>
        <v>400</v>
      </c>
      <c r="E218" s="269">
        <v>100</v>
      </c>
    </row>
    <row r="219" spans="2:6" x14ac:dyDescent="0.25">
      <c r="B219" t="s">
        <v>18</v>
      </c>
      <c r="C219" s="10">
        <v>1</v>
      </c>
      <c r="D219" s="268">
        <f t="shared" ref="D219:D222" si="27">C219*E219</f>
        <v>100</v>
      </c>
      <c r="E219" s="269">
        <v>100</v>
      </c>
    </row>
    <row r="220" spans="2:6" x14ac:dyDescent="0.25">
      <c r="B220" t="s">
        <v>19</v>
      </c>
      <c r="C220" s="10">
        <v>0</v>
      </c>
      <c r="D220" s="268">
        <v>0</v>
      </c>
      <c r="E220" s="269" t="s">
        <v>58</v>
      </c>
    </row>
    <row r="221" spans="2:6" x14ac:dyDescent="0.25">
      <c r="B221" t="s">
        <v>20</v>
      </c>
      <c r="C221" s="10">
        <v>1</v>
      </c>
      <c r="D221" s="268">
        <f t="shared" si="27"/>
        <v>100</v>
      </c>
      <c r="E221" s="269">
        <v>100</v>
      </c>
    </row>
    <row r="222" spans="2:6" x14ac:dyDescent="0.25">
      <c r="B222" t="s">
        <v>21</v>
      </c>
      <c r="C222" s="10">
        <v>0.1</v>
      </c>
      <c r="D222" s="268">
        <f t="shared" si="27"/>
        <v>10</v>
      </c>
      <c r="E222" s="269">
        <v>100</v>
      </c>
    </row>
    <row r="223" spans="2:6" x14ac:dyDescent="0.25">
      <c r="B223" t="s">
        <v>24</v>
      </c>
      <c r="C223" s="10">
        <v>0</v>
      </c>
      <c r="D223" s="268">
        <v>0</v>
      </c>
      <c r="E223" s="269" t="s">
        <v>58</v>
      </c>
    </row>
    <row r="224" spans="2:6" x14ac:dyDescent="0.25">
      <c r="B224" t="s">
        <v>23</v>
      </c>
      <c r="C224" s="10">
        <v>0</v>
      </c>
      <c r="D224" s="268">
        <v>0</v>
      </c>
      <c r="E224" s="269" t="s">
        <v>58</v>
      </c>
    </row>
    <row r="225" spans="2:5" x14ac:dyDescent="0.25">
      <c r="B225" s="5" t="s">
        <v>22</v>
      </c>
      <c r="C225" s="215">
        <v>0</v>
      </c>
      <c r="D225" s="270">
        <v>0</v>
      </c>
      <c r="E225" s="271" t="s">
        <v>58</v>
      </c>
    </row>
    <row r="226" spans="2:5" x14ac:dyDescent="0.25">
      <c r="B226" t="s">
        <v>25</v>
      </c>
      <c r="C226" s="10">
        <f>SUM(C218:C225)</f>
        <v>6.1</v>
      </c>
      <c r="D226" s="265">
        <f>SUM(D218:D225)</f>
        <v>610</v>
      </c>
      <c r="E226" s="57"/>
    </row>
    <row r="228" spans="2:5" x14ac:dyDescent="0.25">
      <c r="B228" s="9" t="s">
        <v>62</v>
      </c>
    </row>
    <row r="230" spans="2:5" x14ac:dyDescent="0.25">
      <c r="C230" s="223" t="s">
        <v>15</v>
      </c>
      <c r="D230" s="223" t="s">
        <v>16</v>
      </c>
      <c r="E230" s="224" t="s">
        <v>57</v>
      </c>
    </row>
    <row r="231" spans="2:5" x14ac:dyDescent="0.25">
      <c r="B231" t="s">
        <v>17</v>
      </c>
      <c r="C231" s="10">
        <v>2</v>
      </c>
      <c r="D231" s="266">
        <f t="shared" ref="D231:D235" si="28">C231*E231</f>
        <v>200</v>
      </c>
      <c r="E231" s="238">
        <v>100</v>
      </c>
    </row>
    <row r="232" spans="2:5" x14ac:dyDescent="0.25">
      <c r="B232" t="s">
        <v>18</v>
      </c>
      <c r="C232" s="10">
        <v>0.5</v>
      </c>
      <c r="D232" s="266">
        <f t="shared" si="28"/>
        <v>50</v>
      </c>
      <c r="E232" s="238">
        <v>100</v>
      </c>
    </row>
    <row r="233" spans="2:5" x14ac:dyDescent="0.25">
      <c r="B233" t="s">
        <v>19</v>
      </c>
      <c r="C233" s="10">
        <v>0</v>
      </c>
      <c r="D233" s="266">
        <v>0</v>
      </c>
      <c r="E233" s="238" t="s">
        <v>58</v>
      </c>
    </row>
    <row r="234" spans="2:5" x14ac:dyDescent="0.25">
      <c r="B234" t="s">
        <v>20</v>
      </c>
      <c r="C234" s="10">
        <v>0.5</v>
      </c>
      <c r="D234" s="266">
        <f t="shared" si="28"/>
        <v>50</v>
      </c>
      <c r="E234" s="238">
        <v>100</v>
      </c>
    </row>
    <row r="235" spans="2:5" x14ac:dyDescent="0.25">
      <c r="B235" t="s">
        <v>21</v>
      </c>
      <c r="C235" s="10">
        <v>0.1</v>
      </c>
      <c r="D235" s="266">
        <f t="shared" si="28"/>
        <v>10</v>
      </c>
      <c r="E235" s="238">
        <v>100</v>
      </c>
    </row>
    <row r="236" spans="2:5" x14ac:dyDescent="0.25">
      <c r="B236" t="s">
        <v>24</v>
      </c>
      <c r="C236" s="10">
        <v>0</v>
      </c>
      <c r="D236" s="266">
        <v>0</v>
      </c>
      <c r="E236" s="238" t="s">
        <v>58</v>
      </c>
    </row>
    <row r="237" spans="2:5" x14ac:dyDescent="0.25">
      <c r="B237" t="s">
        <v>23</v>
      </c>
      <c r="C237" s="10">
        <v>0</v>
      </c>
      <c r="D237" s="266">
        <v>0</v>
      </c>
      <c r="E237" s="238" t="s">
        <v>58</v>
      </c>
    </row>
    <row r="238" spans="2:5" x14ac:dyDescent="0.25">
      <c r="B238" s="5" t="s">
        <v>22</v>
      </c>
      <c r="C238" s="215">
        <v>0</v>
      </c>
      <c r="D238" s="267">
        <v>0</v>
      </c>
      <c r="E238" s="239" t="s">
        <v>58</v>
      </c>
    </row>
    <row r="239" spans="2:5" x14ac:dyDescent="0.25">
      <c r="B239" t="s">
        <v>25</v>
      </c>
      <c r="C239" s="10">
        <f>SUM(C231:C238)</f>
        <v>3.1</v>
      </c>
      <c r="D239" s="264">
        <f>SUM(D231:D238)</f>
        <v>310</v>
      </c>
      <c r="E239" s="238"/>
    </row>
  </sheetData>
  <mergeCells count="2">
    <mergeCell ref="D12:E12"/>
    <mergeCell ref="D5:E5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TPM development cost estimate</vt:lpstr>
      <vt:lpstr>TPM implmentation cost estimate</vt:lpstr>
      <vt:lpstr>TPM ongoing cost estimate</vt:lpstr>
      <vt:lpstr>Transpower's 2016 cost estimate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Phillip Beardmore</dc:creator>
  <cp:lastModifiedBy>Phillip Beardmore</cp:lastModifiedBy>
  <cp:lastPrinted>2019-05-28T04:12:34Z</cp:lastPrinted>
  <dcterms:created xsi:type="dcterms:W3CDTF">2019-01-13T21:11:17Z</dcterms:created>
  <dcterms:modified xsi:type="dcterms:W3CDTF">2019-07-01T05:49:33Z</dcterms:modified>
</cp:coreProperties>
</file>