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35" windowHeight="12555"/>
  </bookViews>
  <sheets>
    <sheet name="Summary table with ranges" sheetId="7" r:id="rId1"/>
    <sheet name="Range information for table" sheetId="20" r:id="rId2"/>
    <sheet name="Transmission cost adjustment" sheetId="21" r:id="rId3"/>
    <sheet name="Summary grid use model" sheetId="4" r:id="rId4"/>
    <sheet name="Investment efficiencies" sheetId="10" r:id="rId5"/>
    <sheet name="Summary_working" sheetId="2" r:id="rId6"/>
    <sheet name="net_benefits CS $m " sheetId="15" r:id="rId7"/>
    <sheet name="net_benefits CV $m  " sheetId="16" r:id="rId8"/>
    <sheet name="net_benefits_all $m" sheetId="3" r:id="rId9"/>
    <sheet name="net_benefits_all" sheetId="1" r:id="rId10"/>
    <sheet name="Costs" sheetId="11" r:id="rId11"/>
    <sheet name="Summary sensitivities" sheetId="18" r:id="rId12"/>
    <sheet name="Battery sensitivities" sheetId="12" r:id="rId13"/>
    <sheet name="Sensitiviti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ftn1" localSheetId="10">Costs!$B$10</definedName>
    <definedName name="_ftnref1" localSheetId="10">Costs!$C$1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7" l="1"/>
  <c r="C6" i="21" l="1"/>
  <c r="C5" i="21"/>
  <c r="Q4" i="18" l="1"/>
  <c r="G16" i="7"/>
  <c r="B16" i="7"/>
  <c r="H16" i="7" l="1"/>
  <c r="Q5" i="18"/>
  <c r="AD4" i="18"/>
  <c r="AD12" i="18" s="1"/>
  <c r="Q6" i="18" l="1"/>
  <c r="AD5" i="18"/>
  <c r="AD13" i="18" s="1"/>
  <c r="Q13" i="18" l="1"/>
  <c r="Q22" i="18"/>
  <c r="Q25" i="18"/>
  <c r="Q14" i="18"/>
  <c r="Q12" i="18"/>
  <c r="AD6" i="18"/>
  <c r="AD14" i="18" s="1"/>
  <c r="AD15" i="18" s="1"/>
  <c r="Q15" i="18"/>
  <c r="Q21" i="18"/>
  <c r="Q24" i="18"/>
  <c r="B5" i="1"/>
  <c r="C5" i="1"/>
  <c r="D5" i="1"/>
  <c r="E5" i="1"/>
  <c r="F5" i="1"/>
  <c r="G5" i="1"/>
  <c r="H5" i="1"/>
  <c r="I5" i="1"/>
  <c r="J5" i="1"/>
  <c r="K5" i="1"/>
  <c r="L5" i="1"/>
  <c r="M5" i="1"/>
  <c r="N5" i="1"/>
  <c r="O5" i="1"/>
  <c r="B6" i="1"/>
  <c r="C6" i="1"/>
  <c r="D6" i="1"/>
  <c r="E6" i="1"/>
  <c r="F6" i="1"/>
  <c r="G6" i="1"/>
  <c r="H6" i="1"/>
  <c r="I6" i="1"/>
  <c r="J6" i="1"/>
  <c r="K6" i="1"/>
  <c r="L6" i="1"/>
  <c r="M6" i="1"/>
  <c r="N6" i="1"/>
  <c r="O6" i="1"/>
  <c r="B7" i="1"/>
  <c r="C7" i="1"/>
  <c r="D7" i="1"/>
  <c r="E7" i="1"/>
  <c r="F7" i="1"/>
  <c r="G7" i="1"/>
  <c r="H7" i="1"/>
  <c r="I7" i="1"/>
  <c r="J7" i="1"/>
  <c r="K7" i="1"/>
  <c r="L7" i="1"/>
  <c r="M7" i="1"/>
  <c r="N7" i="1"/>
  <c r="O7" i="1"/>
  <c r="B8" i="1"/>
  <c r="C8" i="1"/>
  <c r="D8" i="1"/>
  <c r="E8" i="1"/>
  <c r="F8" i="1"/>
  <c r="G8" i="1"/>
  <c r="H8" i="1"/>
  <c r="I8" i="1"/>
  <c r="J8" i="1"/>
  <c r="K8" i="1"/>
  <c r="L8" i="1"/>
  <c r="M8" i="1"/>
  <c r="N8" i="1"/>
  <c r="O8" i="1"/>
  <c r="B9" i="1"/>
  <c r="C9" i="1"/>
  <c r="D9" i="1"/>
  <c r="E9" i="1"/>
  <c r="F9" i="1"/>
  <c r="G9" i="1"/>
  <c r="H9" i="1"/>
  <c r="I9" i="1"/>
  <c r="J9" i="1"/>
  <c r="K9" i="1"/>
  <c r="L9" i="1"/>
  <c r="M9" i="1"/>
  <c r="N9" i="1"/>
  <c r="O9" i="1"/>
  <c r="B10" i="1"/>
  <c r="C10" i="1"/>
  <c r="D10" i="1"/>
  <c r="E10" i="1"/>
  <c r="F10" i="1"/>
  <c r="G10" i="1"/>
  <c r="H10" i="1"/>
  <c r="I10" i="1"/>
  <c r="J10" i="1"/>
  <c r="K10" i="1"/>
  <c r="L10" i="1"/>
  <c r="M10" i="1"/>
  <c r="N10" i="1"/>
  <c r="O10" i="1"/>
  <c r="B11" i="1"/>
  <c r="C11" i="1"/>
  <c r="D11" i="1"/>
  <c r="E11" i="1"/>
  <c r="F11" i="1"/>
  <c r="G11" i="1"/>
  <c r="H11" i="1"/>
  <c r="I11" i="1"/>
  <c r="J11" i="1"/>
  <c r="K11" i="1"/>
  <c r="L11" i="1"/>
  <c r="M11" i="1"/>
  <c r="N11" i="1"/>
  <c r="O11" i="1"/>
  <c r="B12" i="1"/>
  <c r="C12" i="1"/>
  <c r="D12" i="1"/>
  <c r="E12" i="1"/>
  <c r="F12" i="1"/>
  <c r="G12" i="1"/>
  <c r="H12" i="1"/>
  <c r="I12" i="1"/>
  <c r="J12" i="1"/>
  <c r="K12" i="1"/>
  <c r="L12" i="1"/>
  <c r="M12" i="1"/>
  <c r="N12" i="1"/>
  <c r="O12" i="1"/>
  <c r="B13" i="1"/>
  <c r="C13" i="1"/>
  <c r="D13" i="1"/>
  <c r="E13" i="1"/>
  <c r="F13" i="1"/>
  <c r="G13" i="1"/>
  <c r="H13" i="1"/>
  <c r="I13" i="1"/>
  <c r="J13" i="1"/>
  <c r="K13" i="1"/>
  <c r="L13" i="1"/>
  <c r="M13" i="1"/>
  <c r="N13" i="1"/>
  <c r="O13" i="1"/>
  <c r="B14" i="1"/>
  <c r="C14" i="1"/>
  <c r="D14" i="1"/>
  <c r="E14" i="1"/>
  <c r="F14" i="1"/>
  <c r="G14" i="1"/>
  <c r="H14" i="1"/>
  <c r="I14" i="1"/>
  <c r="J14" i="1"/>
  <c r="K14" i="1"/>
  <c r="L14" i="1"/>
  <c r="M14" i="1"/>
  <c r="N14" i="1"/>
  <c r="O14" i="1"/>
  <c r="B15" i="1"/>
  <c r="C15" i="1"/>
  <c r="D15" i="1"/>
  <c r="E15" i="1"/>
  <c r="F15" i="1"/>
  <c r="G15" i="1"/>
  <c r="H15" i="1"/>
  <c r="I15" i="1"/>
  <c r="J15" i="1"/>
  <c r="K15" i="1"/>
  <c r="L15" i="1"/>
  <c r="M15" i="1"/>
  <c r="N15" i="1"/>
  <c r="O15" i="1"/>
  <c r="B16" i="1"/>
  <c r="C16" i="1"/>
  <c r="D16" i="1"/>
  <c r="E16" i="1"/>
  <c r="F16" i="1"/>
  <c r="G16" i="1"/>
  <c r="H16" i="1"/>
  <c r="I16" i="1"/>
  <c r="J16" i="1"/>
  <c r="K16" i="1"/>
  <c r="L16" i="1"/>
  <c r="M16" i="1"/>
  <c r="N16" i="1"/>
  <c r="O16" i="1"/>
  <c r="B17" i="1"/>
  <c r="C17" i="1"/>
  <c r="D17" i="1"/>
  <c r="E17" i="1"/>
  <c r="F17" i="1"/>
  <c r="G17" i="1"/>
  <c r="H17" i="1"/>
  <c r="I17" i="1"/>
  <c r="J17" i="1"/>
  <c r="K17" i="1"/>
  <c r="L17" i="1"/>
  <c r="M17" i="1"/>
  <c r="N17" i="1"/>
  <c r="O17" i="1"/>
  <c r="B18" i="1"/>
  <c r="C18" i="1"/>
  <c r="D18" i="1"/>
  <c r="E18" i="1"/>
  <c r="F18" i="1"/>
  <c r="G18" i="1"/>
  <c r="H18" i="1"/>
  <c r="I18" i="1"/>
  <c r="J18" i="1"/>
  <c r="K18" i="1"/>
  <c r="L18" i="1"/>
  <c r="M18" i="1"/>
  <c r="N18" i="1"/>
  <c r="O18" i="1"/>
  <c r="B19" i="1"/>
  <c r="B19" i="3" s="1"/>
  <c r="C19" i="1"/>
  <c r="D19" i="1"/>
  <c r="D19" i="3" s="1"/>
  <c r="E19" i="1"/>
  <c r="F19" i="1"/>
  <c r="G19" i="1"/>
  <c r="G19" i="16" s="1"/>
  <c r="F28" i="2" s="1"/>
  <c r="H19" i="1"/>
  <c r="I19" i="1"/>
  <c r="J19" i="1"/>
  <c r="K19" i="1"/>
  <c r="L19" i="1"/>
  <c r="L19" i="3" s="1"/>
  <c r="M19" i="1"/>
  <c r="N19" i="1"/>
  <c r="O19" i="1"/>
  <c r="B20" i="1"/>
  <c r="B20" i="3" s="1"/>
  <c r="C20" i="1"/>
  <c r="D20" i="1"/>
  <c r="E20" i="1"/>
  <c r="F20" i="1"/>
  <c r="G20" i="1"/>
  <c r="H20" i="1"/>
  <c r="I20" i="1"/>
  <c r="I20" i="3" s="1"/>
  <c r="J20" i="1"/>
  <c r="J5" i="15" s="1"/>
  <c r="I9" i="2" s="1"/>
  <c r="L9" i="4" s="1"/>
  <c r="K20" i="1"/>
  <c r="L20" i="1"/>
  <c r="M20" i="1"/>
  <c r="N20" i="1"/>
  <c r="O20" i="1"/>
  <c r="B21" i="1"/>
  <c r="B21" i="3" s="1"/>
  <c r="C21" i="1"/>
  <c r="D21" i="1"/>
  <c r="E21" i="1"/>
  <c r="E6" i="15" s="1"/>
  <c r="D16" i="2" s="1"/>
  <c r="F21" i="1"/>
  <c r="G21" i="1"/>
  <c r="H21" i="1"/>
  <c r="H21" i="3" s="1"/>
  <c r="I21" i="1"/>
  <c r="J21" i="1"/>
  <c r="K21" i="1"/>
  <c r="L21" i="1"/>
  <c r="M21" i="1"/>
  <c r="M6" i="15" s="1"/>
  <c r="L16" i="2" s="1"/>
  <c r="N21" i="1"/>
  <c r="O21" i="1"/>
  <c r="B22" i="1"/>
  <c r="B22" i="3" s="1"/>
  <c r="C22" i="1"/>
  <c r="D22" i="1"/>
  <c r="D22" i="3" s="1"/>
  <c r="E22" i="1"/>
  <c r="F22" i="1"/>
  <c r="G22" i="1"/>
  <c r="H22" i="1"/>
  <c r="H7" i="15" s="1"/>
  <c r="G8" i="2" s="1"/>
  <c r="I22" i="1"/>
  <c r="J22" i="1"/>
  <c r="K22" i="1"/>
  <c r="L22" i="1"/>
  <c r="L22" i="3" s="1"/>
  <c r="M22" i="1"/>
  <c r="N22" i="1"/>
  <c r="O22" i="1"/>
  <c r="B23" i="1"/>
  <c r="B23" i="3" s="1"/>
  <c r="C23" i="1"/>
  <c r="C8" i="15" s="1"/>
  <c r="B13" i="2" s="1"/>
  <c r="D23" i="1"/>
  <c r="E23" i="1"/>
  <c r="F23" i="1"/>
  <c r="G23" i="1"/>
  <c r="G8" i="15" s="1"/>
  <c r="F13" i="2" s="1"/>
  <c r="H23" i="1"/>
  <c r="H23" i="3" s="1"/>
  <c r="I23" i="1"/>
  <c r="J23" i="1"/>
  <c r="K23" i="1"/>
  <c r="K8" i="15" s="1"/>
  <c r="J13" i="2" s="1"/>
  <c r="L23" i="1"/>
  <c r="M23" i="1"/>
  <c r="N23" i="1"/>
  <c r="O23" i="1"/>
  <c r="B24" i="1"/>
  <c r="B24" i="3" s="1"/>
  <c r="C24" i="1"/>
  <c r="D24" i="1"/>
  <c r="D24" i="3" s="1"/>
  <c r="E24" i="1"/>
  <c r="F24" i="1"/>
  <c r="F9" i="15" s="1"/>
  <c r="E12" i="2" s="1"/>
  <c r="G24" i="1"/>
  <c r="H24" i="1"/>
  <c r="I24" i="1"/>
  <c r="J24" i="1"/>
  <c r="J9" i="15" s="1"/>
  <c r="I12" i="2" s="1"/>
  <c r="K24" i="1"/>
  <c r="L24" i="1"/>
  <c r="L24" i="3" s="1"/>
  <c r="M24" i="1"/>
  <c r="N24" i="1"/>
  <c r="N9" i="15" s="1"/>
  <c r="M12" i="2" s="1"/>
  <c r="O24" i="1"/>
  <c r="B25" i="1"/>
  <c r="B25" i="3" s="1"/>
  <c r="C25" i="1"/>
  <c r="D25" i="1"/>
  <c r="E25" i="1"/>
  <c r="E10" i="15" s="1"/>
  <c r="D17" i="2" s="1"/>
  <c r="F25" i="1"/>
  <c r="G25" i="1"/>
  <c r="H25" i="1"/>
  <c r="H25" i="3" s="1"/>
  <c r="I25" i="1"/>
  <c r="I10" i="15" s="1"/>
  <c r="H17" i="2" s="1"/>
  <c r="J25" i="1"/>
  <c r="K25" i="1"/>
  <c r="L25" i="1"/>
  <c r="M25" i="1"/>
  <c r="M10" i="15" s="1"/>
  <c r="L17" i="2" s="1"/>
  <c r="N25" i="1"/>
  <c r="O25" i="1"/>
  <c r="B26" i="1"/>
  <c r="B26" i="3" s="1"/>
  <c r="C26" i="1"/>
  <c r="D26" i="1"/>
  <c r="D11" i="15" s="1"/>
  <c r="C18" i="2" s="1"/>
  <c r="E26" i="1"/>
  <c r="F26" i="1"/>
  <c r="G26" i="1"/>
  <c r="H26" i="1"/>
  <c r="H11" i="15" s="1"/>
  <c r="G18" i="2" s="1"/>
  <c r="I26" i="1"/>
  <c r="J26" i="1"/>
  <c r="K26" i="1"/>
  <c r="L26" i="1"/>
  <c r="L26" i="3" s="1"/>
  <c r="M26" i="1"/>
  <c r="N26" i="1"/>
  <c r="O26" i="1"/>
  <c r="B27" i="1"/>
  <c r="B27" i="3" s="1"/>
  <c r="C27" i="1"/>
  <c r="C12" i="15" s="1"/>
  <c r="B4" i="2" s="1"/>
  <c r="D27" i="1"/>
  <c r="E27" i="1"/>
  <c r="F27" i="1"/>
  <c r="G27" i="1"/>
  <c r="G12" i="15" s="1"/>
  <c r="F4" i="2" s="1"/>
  <c r="H27" i="1"/>
  <c r="H27" i="3" s="1"/>
  <c r="I27" i="1"/>
  <c r="J27" i="1"/>
  <c r="K27" i="1"/>
  <c r="K12" i="15" s="1"/>
  <c r="J4" i="2" s="1"/>
  <c r="L27" i="1"/>
  <c r="M27" i="1"/>
  <c r="N27" i="1"/>
  <c r="O27" i="1"/>
  <c r="B28" i="1"/>
  <c r="B28" i="3" s="1"/>
  <c r="C28" i="1"/>
  <c r="D28" i="1"/>
  <c r="D28" i="3" s="1"/>
  <c r="E28" i="1"/>
  <c r="F28" i="1"/>
  <c r="F13" i="15" s="1"/>
  <c r="E6" i="2" s="1"/>
  <c r="G28" i="1"/>
  <c r="H28" i="1"/>
  <c r="I28" i="1"/>
  <c r="J28" i="1"/>
  <c r="J13" i="15" s="1"/>
  <c r="I6" i="2" s="1"/>
  <c r="K28" i="1"/>
  <c r="L28" i="1"/>
  <c r="L13" i="15" s="1"/>
  <c r="K6" i="2" s="1"/>
  <c r="M28" i="1"/>
  <c r="M13" i="15" s="1"/>
  <c r="L6" i="2" s="1"/>
  <c r="N28" i="1"/>
  <c r="N13" i="15" s="1"/>
  <c r="M6" i="2" s="1"/>
  <c r="O28" i="1"/>
  <c r="B29" i="1"/>
  <c r="B29" i="3" s="1"/>
  <c r="C29" i="1"/>
  <c r="C14" i="15" s="1"/>
  <c r="B5" i="2" s="1"/>
  <c r="D29" i="1"/>
  <c r="D14" i="15" s="1"/>
  <c r="C5" i="2" s="1"/>
  <c r="E29" i="1"/>
  <c r="E14" i="15" s="1"/>
  <c r="D5" i="2" s="1"/>
  <c r="F29" i="1"/>
  <c r="F14" i="15" s="1"/>
  <c r="E5" i="2" s="1"/>
  <c r="G29" i="1"/>
  <c r="G14" i="15" s="1"/>
  <c r="F5" i="2" s="1"/>
  <c r="H29" i="1"/>
  <c r="H29" i="3" s="1"/>
  <c r="I29" i="1"/>
  <c r="I14" i="15" s="1"/>
  <c r="H5" i="2" s="1"/>
  <c r="J29" i="1"/>
  <c r="J14" i="15" s="1"/>
  <c r="I5" i="2" s="1"/>
  <c r="K29" i="1"/>
  <c r="K14" i="15" s="1"/>
  <c r="J5" i="2" s="1"/>
  <c r="L29" i="1"/>
  <c r="L14" i="15" s="1"/>
  <c r="K5" i="2" s="1"/>
  <c r="M29" i="1"/>
  <c r="M14" i="15" s="1"/>
  <c r="L5" i="2" s="1"/>
  <c r="N29" i="1"/>
  <c r="N14" i="15" s="1"/>
  <c r="M5" i="2" s="1"/>
  <c r="O29" i="1"/>
  <c r="B30" i="1"/>
  <c r="B30" i="3" s="1"/>
  <c r="C30" i="1"/>
  <c r="C15" i="15" s="1"/>
  <c r="B7" i="2" s="1"/>
  <c r="D30" i="1"/>
  <c r="D30" i="3" s="1"/>
  <c r="E30" i="1"/>
  <c r="E15" i="15" s="1"/>
  <c r="D7" i="2" s="1"/>
  <c r="F30" i="1"/>
  <c r="F15" i="15" s="1"/>
  <c r="E7" i="2" s="1"/>
  <c r="G30" i="1"/>
  <c r="G15" i="15" s="1"/>
  <c r="F7" i="2" s="1"/>
  <c r="H30" i="1"/>
  <c r="H15" i="15" s="1"/>
  <c r="G7" i="2" s="1"/>
  <c r="I30" i="1"/>
  <c r="I15" i="15" s="1"/>
  <c r="H7" i="2" s="1"/>
  <c r="J30" i="1"/>
  <c r="J15" i="15" s="1"/>
  <c r="I7" i="2" s="1"/>
  <c r="K30" i="1"/>
  <c r="K15" i="15" s="1"/>
  <c r="J7" i="2" s="1"/>
  <c r="L30" i="1"/>
  <c r="L30" i="3" s="1"/>
  <c r="M30" i="1"/>
  <c r="M15" i="15" s="1"/>
  <c r="L7" i="2" s="1"/>
  <c r="N30" i="1"/>
  <c r="N15" i="15" s="1"/>
  <c r="M7" i="2" s="1"/>
  <c r="O30" i="1"/>
  <c r="B31" i="1"/>
  <c r="B31" i="3" s="1"/>
  <c r="C31" i="1"/>
  <c r="C16" i="15" s="1"/>
  <c r="B15" i="2" s="1"/>
  <c r="D31" i="1"/>
  <c r="D16" i="15" s="1"/>
  <c r="C15" i="2" s="1"/>
  <c r="E31" i="1"/>
  <c r="E16" i="15" s="1"/>
  <c r="D15" i="2" s="1"/>
  <c r="F31" i="1"/>
  <c r="F16" i="15" s="1"/>
  <c r="E15" i="2" s="1"/>
  <c r="G31" i="1"/>
  <c r="G16" i="15" s="1"/>
  <c r="F15" i="2" s="1"/>
  <c r="H31" i="1"/>
  <c r="H31" i="3" s="1"/>
  <c r="I31" i="1"/>
  <c r="I16" i="15" s="1"/>
  <c r="H15" i="2" s="1"/>
  <c r="J31" i="1"/>
  <c r="J16" i="15" s="1"/>
  <c r="I15" i="2" s="1"/>
  <c r="K31" i="1"/>
  <c r="K16" i="15" s="1"/>
  <c r="J15" i="2" s="1"/>
  <c r="L31" i="1"/>
  <c r="L16" i="15" s="1"/>
  <c r="K15" i="2" s="1"/>
  <c r="M31" i="1"/>
  <c r="M16" i="15" s="1"/>
  <c r="L15" i="2" s="1"/>
  <c r="N31" i="1"/>
  <c r="N16" i="15" s="1"/>
  <c r="M15" i="2" s="1"/>
  <c r="O31" i="1"/>
  <c r="B32" i="1"/>
  <c r="B32" i="3" s="1"/>
  <c r="C32" i="1"/>
  <c r="C17" i="15" s="1"/>
  <c r="B11" i="2" s="1"/>
  <c r="D32" i="1"/>
  <c r="D32" i="3" s="1"/>
  <c r="E32" i="1"/>
  <c r="E17" i="15" s="1"/>
  <c r="D11" i="2" s="1"/>
  <c r="F32" i="1"/>
  <c r="F17" i="15" s="1"/>
  <c r="E11" i="2" s="1"/>
  <c r="G32" i="1"/>
  <c r="G17" i="15" s="1"/>
  <c r="F11" i="2" s="1"/>
  <c r="H32" i="1"/>
  <c r="H17" i="15" s="1"/>
  <c r="G11" i="2" s="1"/>
  <c r="I32" i="1"/>
  <c r="I17" i="15" s="1"/>
  <c r="H11" i="2" s="1"/>
  <c r="J32" i="1"/>
  <c r="J17" i="15" s="1"/>
  <c r="I11" i="2" s="1"/>
  <c r="K32" i="1"/>
  <c r="K17" i="15" s="1"/>
  <c r="J11" i="2" s="1"/>
  <c r="L32" i="1"/>
  <c r="L32" i="3" s="1"/>
  <c r="M32" i="1"/>
  <c r="M17" i="15" s="1"/>
  <c r="L11" i="2" s="1"/>
  <c r="N32" i="1"/>
  <c r="N17" i="15" s="1"/>
  <c r="M11" i="2" s="1"/>
  <c r="O32" i="1"/>
  <c r="B33" i="1"/>
  <c r="B33" i="3" s="1"/>
  <c r="C33" i="1"/>
  <c r="C18" i="15" s="1"/>
  <c r="B14" i="2" s="1"/>
  <c r="D33" i="1"/>
  <c r="D18" i="15" s="1"/>
  <c r="C14" i="2" s="1"/>
  <c r="E33" i="1"/>
  <c r="E18" i="15" s="1"/>
  <c r="D14" i="2" s="1"/>
  <c r="F33" i="1"/>
  <c r="F18" i="15" s="1"/>
  <c r="E14" i="2" s="1"/>
  <c r="G33" i="1"/>
  <c r="G18" i="15" s="1"/>
  <c r="F14" i="2" s="1"/>
  <c r="H33" i="1"/>
  <c r="H33" i="3" s="1"/>
  <c r="I33" i="1"/>
  <c r="I18" i="15" s="1"/>
  <c r="H14" i="2" s="1"/>
  <c r="J33" i="1"/>
  <c r="J18" i="15" s="1"/>
  <c r="I14" i="2" s="1"/>
  <c r="K33" i="1"/>
  <c r="K18" i="15" s="1"/>
  <c r="J14" i="2" s="1"/>
  <c r="L33" i="1"/>
  <c r="L18" i="15" s="1"/>
  <c r="K14" i="2" s="1"/>
  <c r="M33" i="1"/>
  <c r="M18" i="15" s="1"/>
  <c r="L14" i="2" s="1"/>
  <c r="N33" i="1"/>
  <c r="N18" i="15" s="1"/>
  <c r="M14" i="2" s="1"/>
  <c r="O33" i="1"/>
  <c r="B34" i="1"/>
  <c r="B34" i="3" s="1"/>
  <c r="C34" i="1"/>
  <c r="C19" i="15" s="1"/>
  <c r="B10" i="2" s="1"/>
  <c r="D34" i="1"/>
  <c r="D19" i="15" s="1"/>
  <c r="C10" i="2" s="1"/>
  <c r="E34" i="1"/>
  <c r="E19" i="15" s="1"/>
  <c r="D10" i="2" s="1"/>
  <c r="F34" i="1"/>
  <c r="F19" i="15" s="1"/>
  <c r="E10" i="2" s="1"/>
  <c r="G34" i="1"/>
  <c r="G19" i="15" s="1"/>
  <c r="F10" i="2" s="1"/>
  <c r="H34" i="1"/>
  <c r="H19" i="15" s="1"/>
  <c r="G10" i="2" s="1"/>
  <c r="I34" i="1"/>
  <c r="I19" i="15" s="1"/>
  <c r="H10" i="2" s="1"/>
  <c r="J34" i="1"/>
  <c r="J19" i="15" s="1"/>
  <c r="I10" i="2" s="1"/>
  <c r="K34" i="1"/>
  <c r="K19" i="15" s="1"/>
  <c r="J10" i="2" s="1"/>
  <c r="L34" i="1"/>
  <c r="L19" i="15" s="1"/>
  <c r="K10" i="2" s="1"/>
  <c r="M34" i="1"/>
  <c r="M19" i="15" s="1"/>
  <c r="L10" i="2" s="1"/>
  <c r="N34" i="1"/>
  <c r="N19" i="15" s="1"/>
  <c r="M10" i="2" s="1"/>
  <c r="O34" i="1"/>
  <c r="F34" i="3" l="1"/>
  <c r="H26" i="3"/>
  <c r="K33" i="3"/>
  <c r="C33" i="3"/>
  <c r="J20" i="3"/>
  <c r="H32" i="3"/>
  <c r="H18" i="15"/>
  <c r="G14" i="2" s="1"/>
  <c r="J30" i="3"/>
  <c r="D13" i="15"/>
  <c r="C6" i="2" s="1"/>
  <c r="L7" i="15"/>
  <c r="K8" i="2" s="1"/>
  <c r="G29" i="3"/>
  <c r="N34" i="3"/>
  <c r="L28" i="3"/>
  <c r="G13" i="15"/>
  <c r="F6" i="2" s="1"/>
  <c r="G28" i="3"/>
  <c r="M8" i="15"/>
  <c r="L13" i="2" s="1"/>
  <c r="M23" i="3"/>
  <c r="L12" i="15"/>
  <c r="K4" i="2" s="1"/>
  <c r="L27" i="3"/>
  <c r="D12" i="15"/>
  <c r="C4" i="2" s="1"/>
  <c r="D27" i="3"/>
  <c r="J11" i="15"/>
  <c r="I18" i="2" s="1"/>
  <c r="J26" i="3"/>
  <c r="L8" i="15"/>
  <c r="K13" i="2" s="1"/>
  <c r="L23" i="3"/>
  <c r="D8" i="15"/>
  <c r="C13" i="2" s="1"/>
  <c r="D23" i="3"/>
  <c r="J7" i="15"/>
  <c r="I8" i="2" s="1"/>
  <c r="J22" i="3"/>
  <c r="N20" i="3"/>
  <c r="N5" i="15"/>
  <c r="M9" i="2" s="1"/>
  <c r="P9" i="4" s="1"/>
  <c r="F20" i="3"/>
  <c r="F5" i="15"/>
  <c r="E9" i="2" s="1"/>
  <c r="H9" i="4" s="1"/>
  <c r="M34" i="3"/>
  <c r="E34" i="3"/>
  <c r="J33" i="3"/>
  <c r="G32" i="3"/>
  <c r="L31" i="3"/>
  <c r="D31" i="3"/>
  <c r="I30" i="3"/>
  <c r="N29" i="3"/>
  <c r="F29" i="3"/>
  <c r="J28" i="3"/>
  <c r="D26" i="3"/>
  <c r="K23" i="3"/>
  <c r="L17" i="15"/>
  <c r="K11" i="2" s="1"/>
  <c r="H12" i="15"/>
  <c r="G4" i="2" s="1"/>
  <c r="D7" i="15"/>
  <c r="C8" i="2" s="1"/>
  <c r="K22" i="3"/>
  <c r="K7" i="15"/>
  <c r="J8" i="2" s="1"/>
  <c r="M19" i="3"/>
  <c r="M19" i="16"/>
  <c r="L28" i="2" s="1"/>
  <c r="E28" i="3"/>
  <c r="E13" i="15"/>
  <c r="D6" i="2" s="1"/>
  <c r="I11" i="15"/>
  <c r="H18" i="2" s="1"/>
  <c r="I26" i="3"/>
  <c r="G25" i="3"/>
  <c r="G10" i="15"/>
  <c r="F17" i="2" s="1"/>
  <c r="M24" i="3"/>
  <c r="M9" i="15"/>
  <c r="L12" i="2" s="1"/>
  <c r="E24" i="3"/>
  <c r="E9" i="15"/>
  <c r="D12" i="2" s="1"/>
  <c r="I7" i="15"/>
  <c r="H8" i="2" s="1"/>
  <c r="I22" i="3"/>
  <c r="G6" i="15"/>
  <c r="F16" i="2" s="1"/>
  <c r="G21" i="3"/>
  <c r="M20" i="3"/>
  <c r="M5" i="15"/>
  <c r="L9" i="2" s="1"/>
  <c r="O9" i="4" s="1"/>
  <c r="E20" i="3"/>
  <c r="E5" i="15"/>
  <c r="D9" i="2" s="1"/>
  <c r="G9" i="4" s="1"/>
  <c r="K19" i="3"/>
  <c r="K19" i="16"/>
  <c r="J28" i="2" s="1"/>
  <c r="C19" i="3"/>
  <c r="C19" i="16"/>
  <c r="B28" i="2" s="1"/>
  <c r="L34" i="3"/>
  <c r="D34" i="3"/>
  <c r="I33" i="3"/>
  <c r="N32" i="3"/>
  <c r="F32" i="3"/>
  <c r="K31" i="3"/>
  <c r="C31" i="3"/>
  <c r="H30" i="3"/>
  <c r="M29" i="3"/>
  <c r="E29" i="3"/>
  <c r="F28" i="3"/>
  <c r="M25" i="3"/>
  <c r="G23" i="3"/>
  <c r="G19" i="3"/>
  <c r="D17" i="15"/>
  <c r="C11" i="2" s="1"/>
  <c r="L11" i="15"/>
  <c r="K18" i="2" s="1"/>
  <c r="H6" i="15"/>
  <c r="G16" i="2" s="1"/>
  <c r="E19" i="3"/>
  <c r="E19" i="16"/>
  <c r="D28" i="2" s="1"/>
  <c r="E31" i="3"/>
  <c r="J27" i="3"/>
  <c r="J12" i="15"/>
  <c r="I4" i="2" s="1"/>
  <c r="N25" i="3"/>
  <c r="N10" i="15"/>
  <c r="M17" i="2" s="1"/>
  <c r="F25" i="3"/>
  <c r="F10" i="15"/>
  <c r="E17" i="2" s="1"/>
  <c r="J23" i="3"/>
  <c r="J8" i="15"/>
  <c r="I13" i="2" s="1"/>
  <c r="N6" i="15"/>
  <c r="M16" i="2" s="1"/>
  <c r="N21" i="3"/>
  <c r="F6" i="15"/>
  <c r="E16" i="2" s="1"/>
  <c r="F21" i="3"/>
  <c r="L5" i="15"/>
  <c r="K9" i="2" s="1"/>
  <c r="N9" i="4" s="1"/>
  <c r="L20" i="3"/>
  <c r="D5" i="15"/>
  <c r="C9" i="2" s="1"/>
  <c r="F9" i="4" s="1"/>
  <c r="D20" i="3"/>
  <c r="J19" i="3"/>
  <c r="J19" i="16"/>
  <c r="I28" i="2" s="1"/>
  <c r="K34" i="3"/>
  <c r="C34" i="3"/>
  <c r="M32" i="3"/>
  <c r="E32" i="3"/>
  <c r="J31" i="3"/>
  <c r="G30" i="3"/>
  <c r="L29" i="3"/>
  <c r="D29" i="3"/>
  <c r="I25" i="3"/>
  <c r="C23" i="3"/>
  <c r="L19" i="16"/>
  <c r="K28" i="2" s="1"/>
  <c r="H16" i="15"/>
  <c r="G15" i="2" s="1"/>
  <c r="M12" i="15"/>
  <c r="L4" i="2" s="1"/>
  <c r="M27" i="3"/>
  <c r="M31" i="3"/>
  <c r="K13" i="15"/>
  <c r="J6" i="2" s="1"/>
  <c r="K28" i="3"/>
  <c r="C13" i="15"/>
  <c r="B6" i="2" s="1"/>
  <c r="C28" i="3"/>
  <c r="I12" i="15"/>
  <c r="H4" i="2" s="1"/>
  <c r="I27" i="3"/>
  <c r="G11" i="15"/>
  <c r="F18" i="2" s="1"/>
  <c r="G26" i="3"/>
  <c r="K24" i="3"/>
  <c r="K9" i="15"/>
  <c r="J12" i="2" s="1"/>
  <c r="C24" i="3"/>
  <c r="C9" i="15"/>
  <c r="B12" i="2" s="1"/>
  <c r="I23" i="3"/>
  <c r="I8" i="15"/>
  <c r="H13" i="2" s="1"/>
  <c r="G7" i="15"/>
  <c r="F8" i="2" s="1"/>
  <c r="G22" i="3"/>
  <c r="K20" i="3"/>
  <c r="K5" i="15"/>
  <c r="J9" i="2" s="1"/>
  <c r="M9" i="4" s="1"/>
  <c r="C5" i="15"/>
  <c r="B9" i="2" s="1"/>
  <c r="E9" i="4" s="1"/>
  <c r="C20" i="3"/>
  <c r="I19" i="16"/>
  <c r="H28" i="2" s="1"/>
  <c r="I19" i="3"/>
  <c r="J34" i="3"/>
  <c r="G33" i="3"/>
  <c r="I31" i="3"/>
  <c r="N30" i="3"/>
  <c r="F30" i="3"/>
  <c r="K29" i="3"/>
  <c r="C29" i="3"/>
  <c r="K27" i="3"/>
  <c r="E25" i="3"/>
  <c r="D19" i="16"/>
  <c r="C28" i="2" s="1"/>
  <c r="L15" i="15"/>
  <c r="K7" i="2" s="1"/>
  <c r="H10" i="15"/>
  <c r="G17" i="2" s="1"/>
  <c r="K11" i="15"/>
  <c r="J18" i="2" s="1"/>
  <c r="K26" i="3"/>
  <c r="E8" i="15"/>
  <c r="D13" i="2" s="1"/>
  <c r="E23" i="3"/>
  <c r="G20" i="3"/>
  <c r="G5" i="15"/>
  <c r="F9" i="2" s="1"/>
  <c r="I9" i="4" s="1"/>
  <c r="N11" i="15"/>
  <c r="M18" i="2" s="1"/>
  <c r="N26" i="3"/>
  <c r="F11" i="15"/>
  <c r="E18" i="2" s="1"/>
  <c r="F26" i="3"/>
  <c r="L25" i="3"/>
  <c r="L10" i="15"/>
  <c r="K17" i="2" s="1"/>
  <c r="D25" i="3"/>
  <c r="D10" i="15"/>
  <c r="C17" i="2" s="1"/>
  <c r="N22" i="3"/>
  <c r="N7" i="15"/>
  <c r="M8" i="2" s="1"/>
  <c r="F22" i="3"/>
  <c r="F7" i="15"/>
  <c r="E8" i="2" s="1"/>
  <c r="L6" i="15"/>
  <c r="K16" i="2" s="1"/>
  <c r="L21" i="3"/>
  <c r="D6" i="15"/>
  <c r="C16" i="2" s="1"/>
  <c r="D21" i="3"/>
  <c r="H19" i="16"/>
  <c r="G28" i="2" s="1"/>
  <c r="H19" i="3"/>
  <c r="I34" i="3"/>
  <c r="N33" i="3"/>
  <c r="F33" i="3"/>
  <c r="K32" i="3"/>
  <c r="C32" i="3"/>
  <c r="M30" i="3"/>
  <c r="E30" i="3"/>
  <c r="J29" i="3"/>
  <c r="G27" i="3"/>
  <c r="N24" i="3"/>
  <c r="H22" i="3"/>
  <c r="I5" i="15"/>
  <c r="H9" i="2" s="1"/>
  <c r="K9" i="4" s="1"/>
  <c r="D15" i="15"/>
  <c r="C7" i="2" s="1"/>
  <c r="L9" i="15"/>
  <c r="K12" i="2" s="1"/>
  <c r="E12" i="15"/>
  <c r="D4" i="2" s="1"/>
  <c r="E27" i="3"/>
  <c r="G9" i="15"/>
  <c r="F12" i="2" s="1"/>
  <c r="G24" i="3"/>
  <c r="I21" i="3"/>
  <c r="I6" i="15"/>
  <c r="H16" i="2" s="1"/>
  <c r="I13" i="15"/>
  <c r="H6" i="2" s="1"/>
  <c r="I28" i="3"/>
  <c r="M11" i="15"/>
  <c r="L18" i="2" s="1"/>
  <c r="M26" i="3"/>
  <c r="E11" i="15"/>
  <c r="D18" i="2" s="1"/>
  <c r="E26" i="3"/>
  <c r="K10" i="15"/>
  <c r="J17" i="2" s="1"/>
  <c r="K25" i="3"/>
  <c r="C10" i="15"/>
  <c r="B17" i="2" s="1"/>
  <c r="C25" i="3"/>
  <c r="I24" i="3"/>
  <c r="I9" i="15"/>
  <c r="H12" i="2" s="1"/>
  <c r="M22" i="3"/>
  <c r="M7" i="15"/>
  <c r="L8" i="2" s="1"/>
  <c r="E22" i="3"/>
  <c r="E7" i="15"/>
  <c r="D8" i="2" s="1"/>
  <c r="K6" i="15"/>
  <c r="J16" i="2" s="1"/>
  <c r="K21" i="3"/>
  <c r="C6" i="15"/>
  <c r="B16" i="2" s="1"/>
  <c r="C21" i="3"/>
  <c r="H34" i="3"/>
  <c r="M33" i="3"/>
  <c r="E33" i="3"/>
  <c r="J32" i="3"/>
  <c r="G31" i="3"/>
  <c r="I29" i="3"/>
  <c r="N28" i="3"/>
  <c r="C27" i="3"/>
  <c r="J24" i="3"/>
  <c r="M21" i="3"/>
  <c r="H14" i="15"/>
  <c r="G5" i="2" s="1"/>
  <c r="D9" i="15"/>
  <c r="C12" i="2" s="1"/>
  <c r="C11" i="15"/>
  <c r="B18" i="2" s="1"/>
  <c r="C26" i="3"/>
  <c r="C22" i="3"/>
  <c r="C7" i="15"/>
  <c r="B8" i="2" s="1"/>
  <c r="H13" i="15"/>
  <c r="G6" i="2" s="1"/>
  <c r="H28" i="3"/>
  <c r="N12" i="15"/>
  <c r="M4" i="2" s="1"/>
  <c r="N27" i="3"/>
  <c r="F12" i="15"/>
  <c r="E4" i="2" s="1"/>
  <c r="F27" i="3"/>
  <c r="J25" i="3"/>
  <c r="J10" i="15"/>
  <c r="I17" i="2" s="1"/>
  <c r="H9" i="15"/>
  <c r="G12" i="2" s="1"/>
  <c r="H24" i="3"/>
  <c r="N23" i="3"/>
  <c r="N8" i="15"/>
  <c r="M13" i="2" s="1"/>
  <c r="F23" i="3"/>
  <c r="F8" i="15"/>
  <c r="E13" i="2" s="1"/>
  <c r="J21" i="3"/>
  <c r="J6" i="15"/>
  <c r="I16" i="2" s="1"/>
  <c r="H20" i="3"/>
  <c r="H5" i="15"/>
  <c r="G9" i="2" s="1"/>
  <c r="J9" i="4" s="1"/>
  <c r="N19" i="3"/>
  <c r="N19" i="16"/>
  <c r="M28" i="2" s="1"/>
  <c r="F19" i="3"/>
  <c r="F19" i="16"/>
  <c r="E28" i="2" s="1"/>
  <c r="G34" i="3"/>
  <c r="L33" i="3"/>
  <c r="D33" i="3"/>
  <c r="I32" i="3"/>
  <c r="N31" i="3"/>
  <c r="F31" i="3"/>
  <c r="K30" i="3"/>
  <c r="C30" i="3"/>
  <c r="M28" i="3"/>
  <c r="F24" i="3"/>
  <c r="E21" i="3"/>
  <c r="H8" i="15"/>
  <c r="G13" i="2" s="1"/>
  <c r="J27" i="19"/>
  <c r="K27" i="19"/>
  <c r="L27" i="19"/>
  <c r="M27" i="19"/>
  <c r="N27" i="19"/>
  <c r="O27" i="19"/>
  <c r="J28" i="19"/>
  <c r="K28" i="19"/>
  <c r="L28" i="19"/>
  <c r="M28" i="19"/>
  <c r="N28" i="19"/>
  <c r="O28" i="19"/>
  <c r="J29" i="19"/>
  <c r="K29" i="19"/>
  <c r="L29" i="19"/>
  <c r="M29" i="19"/>
  <c r="N29" i="19"/>
  <c r="O29" i="19"/>
  <c r="J30" i="19"/>
  <c r="K30" i="19"/>
  <c r="L30" i="19"/>
  <c r="M30" i="19"/>
  <c r="N30" i="19"/>
  <c r="O30" i="19"/>
  <c r="J31" i="19"/>
  <c r="K31" i="19"/>
  <c r="L31" i="19"/>
  <c r="M31" i="19"/>
  <c r="N31" i="19"/>
  <c r="O31" i="19"/>
  <c r="J32" i="19"/>
  <c r="K32" i="19"/>
  <c r="L32" i="19"/>
  <c r="M32" i="19"/>
  <c r="N32" i="19"/>
  <c r="O32" i="19"/>
  <c r="J33" i="19"/>
  <c r="K33" i="19"/>
  <c r="L33" i="19"/>
  <c r="M33" i="19"/>
  <c r="N33" i="19"/>
  <c r="O33" i="19"/>
  <c r="J34" i="19"/>
  <c r="K34" i="19"/>
  <c r="L34" i="19"/>
  <c r="M34" i="19"/>
  <c r="N34" i="19"/>
  <c r="O34" i="19"/>
  <c r="J35" i="19"/>
  <c r="K35" i="19"/>
  <c r="L35" i="19"/>
  <c r="M35" i="19"/>
  <c r="N35" i="19"/>
  <c r="O35" i="19"/>
  <c r="J36" i="19"/>
  <c r="K36" i="19"/>
  <c r="L36" i="19"/>
  <c r="M36" i="19"/>
  <c r="N36" i="19"/>
  <c r="O36" i="19"/>
  <c r="J37" i="19"/>
  <c r="K37" i="19"/>
  <c r="L37" i="19"/>
  <c r="M37" i="19"/>
  <c r="N37" i="19"/>
  <c r="O37" i="19"/>
  <c r="J38" i="19"/>
  <c r="K38" i="19"/>
  <c r="L38" i="19"/>
  <c r="M38" i="19"/>
  <c r="N38" i="19"/>
  <c r="O38" i="19"/>
  <c r="J39" i="19"/>
  <c r="K39" i="19"/>
  <c r="L39" i="19"/>
  <c r="M39" i="19"/>
  <c r="N39" i="19"/>
  <c r="O39" i="19"/>
  <c r="J40" i="19"/>
  <c r="K40" i="19"/>
  <c r="L40" i="19"/>
  <c r="M40" i="19"/>
  <c r="N40" i="19"/>
  <c r="O40" i="19"/>
  <c r="J41" i="19"/>
  <c r="K41" i="19"/>
  <c r="L41" i="19"/>
  <c r="M41" i="19"/>
  <c r="N41" i="19"/>
  <c r="O41" i="19"/>
  <c r="J6" i="19"/>
  <c r="K6" i="19"/>
  <c r="L6" i="19"/>
  <c r="M6" i="19"/>
  <c r="N6" i="19"/>
  <c r="O6" i="19"/>
  <c r="J7" i="19"/>
  <c r="K7" i="19"/>
  <c r="L7" i="19"/>
  <c r="M7" i="19"/>
  <c r="N7" i="19"/>
  <c r="O7" i="19"/>
  <c r="J8" i="19"/>
  <c r="K8" i="19"/>
  <c r="L8" i="19"/>
  <c r="M8" i="19"/>
  <c r="N8" i="19"/>
  <c r="O8" i="19"/>
  <c r="J9" i="19"/>
  <c r="K9" i="19"/>
  <c r="L9" i="19"/>
  <c r="M9" i="19"/>
  <c r="N9" i="19"/>
  <c r="O9" i="19"/>
  <c r="J10" i="19"/>
  <c r="K10" i="19"/>
  <c r="L10" i="19"/>
  <c r="M10" i="19"/>
  <c r="N10" i="19"/>
  <c r="O10" i="19"/>
  <c r="J11" i="19"/>
  <c r="K11" i="19"/>
  <c r="L11" i="19"/>
  <c r="M11" i="19"/>
  <c r="N11" i="19"/>
  <c r="O11" i="19"/>
  <c r="J12" i="19"/>
  <c r="K12" i="19"/>
  <c r="L12" i="19"/>
  <c r="M12" i="19"/>
  <c r="N12" i="19"/>
  <c r="O12" i="19"/>
  <c r="J13" i="19"/>
  <c r="K13" i="19"/>
  <c r="L13" i="19"/>
  <c r="M13" i="19"/>
  <c r="N13" i="19"/>
  <c r="O13" i="19"/>
  <c r="J14" i="19"/>
  <c r="K14" i="19"/>
  <c r="L14" i="19"/>
  <c r="M14" i="19"/>
  <c r="N14" i="19"/>
  <c r="O14" i="19"/>
  <c r="J15" i="19"/>
  <c r="K15" i="19"/>
  <c r="L15" i="19"/>
  <c r="M15" i="19"/>
  <c r="N15" i="19"/>
  <c r="O15" i="19"/>
  <c r="J16" i="19"/>
  <c r="K16" i="19"/>
  <c r="L16" i="19"/>
  <c r="M16" i="19"/>
  <c r="N16" i="19"/>
  <c r="O16" i="19"/>
  <c r="J17" i="19"/>
  <c r="K17" i="19"/>
  <c r="L17" i="19"/>
  <c r="M17" i="19"/>
  <c r="N17" i="19"/>
  <c r="O17" i="19"/>
  <c r="J18" i="19"/>
  <c r="K18" i="19"/>
  <c r="L18" i="19"/>
  <c r="M18" i="19"/>
  <c r="N18" i="19"/>
  <c r="O18" i="19"/>
  <c r="J19" i="19"/>
  <c r="K19" i="19"/>
  <c r="L19" i="19"/>
  <c r="M19" i="19"/>
  <c r="N19" i="19"/>
  <c r="O19" i="19"/>
  <c r="J20" i="19"/>
  <c r="K20" i="19"/>
  <c r="L20" i="19"/>
  <c r="M20" i="19"/>
  <c r="N20" i="19"/>
  <c r="O20" i="19"/>
  <c r="B6" i="19"/>
  <c r="C6" i="19"/>
  <c r="D6" i="19"/>
  <c r="E6" i="19"/>
  <c r="F6" i="19"/>
  <c r="G6" i="19"/>
  <c r="B7" i="19"/>
  <c r="C7" i="19"/>
  <c r="D7" i="19"/>
  <c r="E7" i="19"/>
  <c r="F7" i="19"/>
  <c r="G7" i="19"/>
  <c r="B8" i="19"/>
  <c r="C8" i="19"/>
  <c r="D8" i="19"/>
  <c r="E8" i="19"/>
  <c r="F8" i="19"/>
  <c r="G8" i="19"/>
  <c r="B9" i="19"/>
  <c r="C9" i="19"/>
  <c r="D9" i="19"/>
  <c r="E9" i="19"/>
  <c r="F9" i="19"/>
  <c r="G9" i="19"/>
  <c r="B10" i="19"/>
  <c r="C10" i="19"/>
  <c r="D10" i="19"/>
  <c r="E10" i="19"/>
  <c r="F10" i="19"/>
  <c r="G10" i="19"/>
  <c r="B11" i="19"/>
  <c r="C11" i="19"/>
  <c r="D11" i="19"/>
  <c r="E11" i="19"/>
  <c r="F11" i="19"/>
  <c r="G11" i="19"/>
  <c r="B12" i="19"/>
  <c r="C12" i="19"/>
  <c r="D12" i="19"/>
  <c r="E12" i="19"/>
  <c r="F12" i="19"/>
  <c r="G12" i="19"/>
  <c r="B13" i="19"/>
  <c r="C13" i="19"/>
  <c r="D13" i="19"/>
  <c r="E13" i="19"/>
  <c r="F13" i="19"/>
  <c r="G13" i="19"/>
  <c r="B14" i="19"/>
  <c r="C14" i="19"/>
  <c r="D14" i="19"/>
  <c r="E14" i="19"/>
  <c r="F14" i="19"/>
  <c r="G14" i="19"/>
  <c r="D22" i="19"/>
  <c r="E22" i="19"/>
  <c r="F22" i="19"/>
  <c r="G22" i="19"/>
  <c r="D23" i="19"/>
  <c r="E23" i="19"/>
  <c r="F23" i="19"/>
  <c r="G23" i="19"/>
  <c r="D24" i="19"/>
  <c r="E24" i="19"/>
  <c r="F24" i="19"/>
  <c r="G24" i="19"/>
  <c r="D25" i="19"/>
  <c r="E25" i="19"/>
  <c r="F25" i="19"/>
  <c r="G25" i="19"/>
  <c r="D26" i="19"/>
  <c r="E26" i="19"/>
  <c r="F26" i="19"/>
  <c r="G26" i="19"/>
  <c r="D27" i="19"/>
  <c r="E27" i="19"/>
  <c r="F27" i="19"/>
  <c r="G27" i="19"/>
  <c r="D28" i="19"/>
  <c r="E28" i="19"/>
  <c r="F28" i="19"/>
  <c r="G28" i="19"/>
  <c r="D29" i="19"/>
  <c r="E29" i="19"/>
  <c r="F29" i="19"/>
  <c r="G29" i="19"/>
  <c r="D30" i="19"/>
  <c r="E30" i="19"/>
  <c r="F30" i="19"/>
  <c r="G30" i="19"/>
  <c r="D31" i="19"/>
  <c r="E31" i="19"/>
  <c r="F31" i="19"/>
  <c r="G31" i="19"/>
  <c r="D32" i="19"/>
  <c r="E32" i="19"/>
  <c r="F32" i="19"/>
  <c r="G32" i="19"/>
  <c r="D33" i="19"/>
  <c r="E33" i="19"/>
  <c r="F33" i="19"/>
  <c r="G33" i="19"/>
  <c r="D34" i="19"/>
  <c r="E34" i="19"/>
  <c r="F34" i="19"/>
  <c r="G34" i="19"/>
  <c r="D35" i="19"/>
  <c r="E35" i="19"/>
  <c r="F35" i="19"/>
  <c r="G35" i="19"/>
  <c r="D36" i="19"/>
  <c r="E36" i="19"/>
  <c r="F36" i="19"/>
  <c r="G36" i="19"/>
  <c r="D37" i="19"/>
  <c r="E37" i="19"/>
  <c r="F37" i="19"/>
  <c r="G37" i="19"/>
  <c r="D38" i="19"/>
  <c r="E38" i="19"/>
  <c r="F38" i="19"/>
  <c r="G38" i="19"/>
  <c r="D39" i="19"/>
  <c r="E39" i="19"/>
  <c r="F39" i="19"/>
  <c r="G39" i="19"/>
  <c r="D40" i="19"/>
  <c r="E40" i="19"/>
  <c r="F40" i="19"/>
  <c r="G40" i="19"/>
  <c r="D41" i="19"/>
  <c r="E41" i="19"/>
  <c r="F41" i="19"/>
  <c r="G41" i="19"/>
  <c r="G15" i="18" l="1"/>
  <c r="T15" i="18"/>
  <c r="G13" i="18"/>
  <c r="T13" i="18"/>
  <c r="G14" i="18"/>
  <c r="T14" i="18"/>
  <c r="G12" i="18"/>
  <c r="T12" i="18"/>
  <c r="L3" i="11"/>
  <c r="L7" i="11" s="1"/>
  <c r="K6" i="11"/>
  <c r="K5" i="11"/>
  <c r="K4" i="11"/>
  <c r="K3" i="11"/>
  <c r="K7" i="11" l="1"/>
  <c r="H3" i="11"/>
  <c r="H6" i="11" s="1"/>
  <c r="G4" i="11"/>
  <c r="C5" i="11"/>
  <c r="D5" i="11" s="1"/>
  <c r="D4" i="11"/>
  <c r="C4" i="11"/>
  <c r="D3" i="11"/>
  <c r="C3" i="11"/>
  <c r="C7" i="11" l="1"/>
  <c r="D7" i="11"/>
  <c r="G3" i="11"/>
  <c r="G6" i="11" s="1"/>
  <c r="B10" i="3" l="1"/>
  <c r="B13" i="3"/>
  <c r="B18" i="3"/>
  <c r="B5" i="3"/>
  <c r="B6" i="3"/>
  <c r="B7" i="3"/>
  <c r="B8" i="3"/>
  <c r="B9" i="3"/>
  <c r="B11" i="3"/>
  <c r="B12" i="3"/>
  <c r="B14" i="3"/>
  <c r="B15" i="3"/>
  <c r="B16" i="3"/>
  <c r="B17" i="3"/>
  <c r="D12" i="12"/>
  <c r="B4" i="12"/>
  <c r="C4" i="12"/>
  <c r="D4" i="12"/>
  <c r="B5" i="12"/>
  <c r="C5" i="12"/>
  <c r="D5" i="12"/>
  <c r="B6" i="12"/>
  <c r="C6" i="12"/>
  <c r="D6" i="12"/>
  <c r="B7" i="12"/>
  <c r="C7" i="12"/>
  <c r="D7" i="12"/>
  <c r="B8" i="12"/>
  <c r="C8" i="12"/>
  <c r="D8" i="12"/>
  <c r="B9" i="12"/>
  <c r="C9" i="12"/>
  <c r="D9" i="12"/>
  <c r="B10" i="12"/>
  <c r="C10" i="12"/>
  <c r="D10" i="12"/>
  <c r="B11" i="12"/>
  <c r="C11" i="12"/>
  <c r="D11" i="12"/>
  <c r="B12" i="12"/>
  <c r="C12" i="12"/>
  <c r="B13" i="12"/>
  <c r="C13" i="12"/>
  <c r="D13" i="12"/>
  <c r="B14" i="12"/>
  <c r="C14" i="12"/>
  <c r="D14" i="12"/>
  <c r="B15" i="12"/>
  <c r="C15" i="12"/>
  <c r="D15" i="12"/>
  <c r="B16" i="12"/>
  <c r="C16" i="12"/>
  <c r="D16" i="12"/>
  <c r="B17" i="12"/>
  <c r="C17" i="12"/>
  <c r="D17" i="12"/>
  <c r="B18" i="12"/>
  <c r="C18" i="12"/>
  <c r="D18" i="12"/>
  <c r="B19" i="12"/>
  <c r="C19" i="12"/>
  <c r="D19" i="12"/>
  <c r="B20" i="12"/>
  <c r="C20" i="12"/>
  <c r="D20" i="12"/>
  <c r="B21" i="12"/>
  <c r="C21" i="12"/>
  <c r="D21" i="12"/>
  <c r="B22" i="12"/>
  <c r="C22" i="12"/>
  <c r="D22" i="12"/>
  <c r="B23" i="12"/>
  <c r="C23" i="12"/>
  <c r="D23" i="12"/>
  <c r="B28" i="10" l="1"/>
  <c r="D27" i="10"/>
  <c r="C27" i="10"/>
  <c r="B27" i="10"/>
  <c r="D26" i="10"/>
  <c r="C26" i="10"/>
  <c r="B26" i="10"/>
  <c r="B22" i="10"/>
  <c r="C22" i="10"/>
  <c r="D22" i="10"/>
  <c r="E22" i="10"/>
  <c r="B13" i="10"/>
  <c r="C13" i="10"/>
  <c r="D13" i="10"/>
  <c r="E13" i="10"/>
  <c r="B14" i="10"/>
  <c r="C14" i="10"/>
  <c r="D14" i="10"/>
  <c r="F6" i="7" s="1"/>
  <c r="E14" i="10"/>
  <c r="B15" i="10"/>
  <c r="C15" i="10"/>
  <c r="D15" i="10"/>
  <c r="E15" i="10"/>
  <c r="B16" i="10"/>
  <c r="C16" i="10"/>
  <c r="D16" i="10"/>
  <c r="E16" i="10"/>
  <c r="B17" i="10"/>
  <c r="C17" i="10"/>
  <c r="D17" i="10"/>
  <c r="E17" i="10"/>
  <c r="B18" i="10"/>
  <c r="C18" i="10"/>
  <c r="D18" i="10"/>
  <c r="E18" i="10"/>
  <c r="E8" i="4" l="1"/>
  <c r="W15" i="18"/>
  <c r="J15" i="18"/>
  <c r="W14" i="18"/>
  <c r="J14" i="18"/>
  <c r="C7" i="10" l="1"/>
  <c r="D7" i="10"/>
  <c r="E7" i="10"/>
  <c r="E6" i="10" l="1"/>
  <c r="D6" i="10"/>
  <c r="C6" i="10"/>
  <c r="E5" i="10"/>
  <c r="H8" i="7" s="1"/>
  <c r="D5" i="10"/>
  <c r="G8" i="7" s="1"/>
  <c r="C5" i="10"/>
  <c r="F8" i="7" s="1"/>
  <c r="B8" i="7" s="1"/>
  <c r="E4" i="10"/>
  <c r="D4" i="10"/>
  <c r="C4" i="10"/>
  <c r="D8" i="10" l="1"/>
  <c r="E8" i="10"/>
  <c r="M4" i="18"/>
  <c r="L8" i="7"/>
  <c r="M5" i="18"/>
  <c r="Z5" i="18" s="1"/>
  <c r="M8" i="7"/>
  <c r="M6" i="18"/>
  <c r="Z6" i="18" s="1"/>
  <c r="N8" i="7"/>
  <c r="C8" i="10"/>
  <c r="N18" i="16"/>
  <c r="M32" i="2" s="1"/>
  <c r="M18" i="16"/>
  <c r="L32" i="2" s="1"/>
  <c r="L18" i="16"/>
  <c r="K32" i="2" s="1"/>
  <c r="K18" i="16"/>
  <c r="J32" i="2" s="1"/>
  <c r="J18" i="16"/>
  <c r="I32" i="2" s="1"/>
  <c r="I18" i="16"/>
  <c r="H32" i="2" s="1"/>
  <c r="H18" i="16"/>
  <c r="G32" i="2" s="1"/>
  <c r="G18" i="16"/>
  <c r="F32" i="2" s="1"/>
  <c r="F18" i="16"/>
  <c r="E32" i="2" s="1"/>
  <c r="E18" i="16"/>
  <c r="D32" i="2" s="1"/>
  <c r="D18" i="16"/>
  <c r="C32" i="2" s="1"/>
  <c r="C18" i="16"/>
  <c r="B32" i="2" s="1"/>
  <c r="N17" i="16"/>
  <c r="M29" i="2" s="1"/>
  <c r="M17" i="16"/>
  <c r="L29" i="2" s="1"/>
  <c r="L17" i="16"/>
  <c r="K29" i="2" s="1"/>
  <c r="K17" i="16"/>
  <c r="J29" i="2" s="1"/>
  <c r="J17" i="16"/>
  <c r="I29" i="2" s="1"/>
  <c r="I17" i="16"/>
  <c r="H29" i="2" s="1"/>
  <c r="H17" i="16"/>
  <c r="G29" i="2" s="1"/>
  <c r="G17" i="16"/>
  <c r="F29" i="2" s="1"/>
  <c r="F17" i="16"/>
  <c r="E29" i="2" s="1"/>
  <c r="E17" i="16"/>
  <c r="D29" i="2" s="1"/>
  <c r="D17" i="16"/>
  <c r="C29" i="2" s="1"/>
  <c r="C17" i="16"/>
  <c r="B29" i="2" s="1"/>
  <c r="N16" i="16"/>
  <c r="M33" i="2" s="1"/>
  <c r="M16" i="16"/>
  <c r="L33" i="2" s="1"/>
  <c r="L16" i="16"/>
  <c r="K33" i="2" s="1"/>
  <c r="K16" i="16"/>
  <c r="J33" i="2" s="1"/>
  <c r="J16" i="16"/>
  <c r="I33" i="2" s="1"/>
  <c r="I16" i="16"/>
  <c r="H33" i="2" s="1"/>
  <c r="H16" i="16"/>
  <c r="G33" i="2" s="1"/>
  <c r="G16" i="16"/>
  <c r="F33" i="2" s="1"/>
  <c r="F16" i="16"/>
  <c r="E33" i="2" s="1"/>
  <c r="E16" i="16"/>
  <c r="D33" i="2" s="1"/>
  <c r="D16" i="16"/>
  <c r="C33" i="2" s="1"/>
  <c r="C16" i="16"/>
  <c r="B33" i="2" s="1"/>
  <c r="N15" i="16"/>
  <c r="M25" i="2" s="1"/>
  <c r="M15" i="16"/>
  <c r="L25" i="2" s="1"/>
  <c r="L15" i="16"/>
  <c r="K25" i="2" s="1"/>
  <c r="K15" i="16"/>
  <c r="J25" i="2" s="1"/>
  <c r="J15" i="16"/>
  <c r="I25" i="2" s="1"/>
  <c r="I15" i="16"/>
  <c r="H25" i="2" s="1"/>
  <c r="H15" i="16"/>
  <c r="G25" i="2" s="1"/>
  <c r="G15" i="16"/>
  <c r="F25" i="2" s="1"/>
  <c r="F15" i="16"/>
  <c r="E25" i="2" s="1"/>
  <c r="E15" i="16"/>
  <c r="D25" i="2" s="1"/>
  <c r="D15" i="16"/>
  <c r="C25" i="2" s="1"/>
  <c r="C15" i="16"/>
  <c r="B25" i="2" s="1"/>
  <c r="N14" i="16"/>
  <c r="M23" i="2" s="1"/>
  <c r="M14" i="16"/>
  <c r="L23" i="2" s="1"/>
  <c r="L14" i="16"/>
  <c r="K23" i="2" s="1"/>
  <c r="K14" i="16"/>
  <c r="J23" i="2" s="1"/>
  <c r="J14" i="16"/>
  <c r="I23" i="2" s="1"/>
  <c r="I14" i="16"/>
  <c r="H23" i="2" s="1"/>
  <c r="H14" i="16"/>
  <c r="G23" i="2" s="1"/>
  <c r="G14" i="16"/>
  <c r="F23" i="2" s="1"/>
  <c r="F14" i="16"/>
  <c r="E23" i="2" s="1"/>
  <c r="E14" i="16"/>
  <c r="D23" i="2" s="1"/>
  <c r="D14" i="16"/>
  <c r="C23" i="2" s="1"/>
  <c r="C14" i="16"/>
  <c r="B23" i="2" s="1"/>
  <c r="N13" i="16"/>
  <c r="M24" i="2" s="1"/>
  <c r="M13" i="16"/>
  <c r="L24" i="2" s="1"/>
  <c r="L13" i="16"/>
  <c r="K24" i="2" s="1"/>
  <c r="K13" i="16"/>
  <c r="J24" i="2" s="1"/>
  <c r="J13" i="16"/>
  <c r="I24" i="2" s="1"/>
  <c r="I13" i="16"/>
  <c r="H24" i="2" s="1"/>
  <c r="H13" i="16"/>
  <c r="G24" i="2" s="1"/>
  <c r="G13" i="16"/>
  <c r="F24" i="2" s="1"/>
  <c r="F13" i="16"/>
  <c r="E24" i="2" s="1"/>
  <c r="E13" i="16"/>
  <c r="D24" i="2" s="1"/>
  <c r="D13" i="16"/>
  <c r="C24" i="2" s="1"/>
  <c r="C13" i="16"/>
  <c r="B24" i="2" s="1"/>
  <c r="N12" i="16"/>
  <c r="M12" i="16"/>
  <c r="L12" i="16"/>
  <c r="K12" i="16"/>
  <c r="J12" i="16"/>
  <c r="I12" i="16"/>
  <c r="H12" i="16"/>
  <c r="G12" i="16"/>
  <c r="F12" i="16"/>
  <c r="E12" i="16"/>
  <c r="D12" i="16"/>
  <c r="C12" i="16"/>
  <c r="N11" i="16"/>
  <c r="M36" i="2" s="1"/>
  <c r="M11" i="16"/>
  <c r="L36" i="2" s="1"/>
  <c r="L11" i="16"/>
  <c r="K36" i="2" s="1"/>
  <c r="K11" i="16"/>
  <c r="J36" i="2" s="1"/>
  <c r="J11" i="16"/>
  <c r="I36" i="2" s="1"/>
  <c r="I11" i="16"/>
  <c r="H36" i="2" s="1"/>
  <c r="H11" i="16"/>
  <c r="G36" i="2" s="1"/>
  <c r="G11" i="16"/>
  <c r="F36" i="2" s="1"/>
  <c r="F11" i="16"/>
  <c r="E36" i="2" s="1"/>
  <c r="E11" i="16"/>
  <c r="D36" i="2" s="1"/>
  <c r="D11" i="16"/>
  <c r="C36" i="2" s="1"/>
  <c r="C11" i="16"/>
  <c r="N10" i="16"/>
  <c r="M35" i="2" s="1"/>
  <c r="M10" i="16"/>
  <c r="L35" i="2" s="1"/>
  <c r="L10" i="16"/>
  <c r="K35" i="2" s="1"/>
  <c r="K10" i="16"/>
  <c r="J35" i="2" s="1"/>
  <c r="J10" i="16"/>
  <c r="I35" i="2" s="1"/>
  <c r="I10" i="16"/>
  <c r="H35" i="2" s="1"/>
  <c r="H10" i="16"/>
  <c r="G35" i="2" s="1"/>
  <c r="G10" i="16"/>
  <c r="F35" i="2" s="1"/>
  <c r="F10" i="16"/>
  <c r="E35" i="2" s="1"/>
  <c r="E10" i="16"/>
  <c r="D35" i="2" s="1"/>
  <c r="D10" i="16"/>
  <c r="C35" i="2" s="1"/>
  <c r="C10" i="16"/>
  <c r="B35" i="2" s="1"/>
  <c r="N9" i="16"/>
  <c r="M30" i="2" s="1"/>
  <c r="M9" i="16"/>
  <c r="L30" i="2" s="1"/>
  <c r="L9" i="16"/>
  <c r="K30" i="2" s="1"/>
  <c r="K9" i="16"/>
  <c r="J30" i="2" s="1"/>
  <c r="J9" i="16"/>
  <c r="I30" i="2" s="1"/>
  <c r="I9" i="16"/>
  <c r="H30" i="2" s="1"/>
  <c r="H9" i="16"/>
  <c r="G30" i="2" s="1"/>
  <c r="G9" i="16"/>
  <c r="F30" i="2" s="1"/>
  <c r="F9" i="16"/>
  <c r="E30" i="2" s="1"/>
  <c r="E9" i="16"/>
  <c r="D30" i="2" s="1"/>
  <c r="D9" i="16"/>
  <c r="C30" i="2" s="1"/>
  <c r="C9" i="16"/>
  <c r="B30" i="2" s="1"/>
  <c r="N8" i="16"/>
  <c r="M31" i="2" s="1"/>
  <c r="M8" i="16"/>
  <c r="L31" i="2" s="1"/>
  <c r="L8" i="16"/>
  <c r="K31" i="2" s="1"/>
  <c r="K8" i="16"/>
  <c r="J31" i="2" s="1"/>
  <c r="J8" i="16"/>
  <c r="I31" i="2" s="1"/>
  <c r="I8" i="16"/>
  <c r="H31" i="2" s="1"/>
  <c r="H8" i="16"/>
  <c r="G31" i="2" s="1"/>
  <c r="G8" i="16"/>
  <c r="F31" i="2" s="1"/>
  <c r="F8" i="16"/>
  <c r="E31" i="2" s="1"/>
  <c r="E8" i="16"/>
  <c r="D31" i="2" s="1"/>
  <c r="D8" i="16"/>
  <c r="C31" i="2" s="1"/>
  <c r="C8" i="16"/>
  <c r="B31" i="2" s="1"/>
  <c r="N7" i="16"/>
  <c r="M26" i="2" s="1"/>
  <c r="M7" i="16"/>
  <c r="L26" i="2" s="1"/>
  <c r="L7" i="16"/>
  <c r="K26" i="2" s="1"/>
  <c r="K7" i="16"/>
  <c r="J26" i="2" s="1"/>
  <c r="J7" i="16"/>
  <c r="I26" i="2" s="1"/>
  <c r="I7" i="16"/>
  <c r="H26" i="2" s="1"/>
  <c r="H7" i="16"/>
  <c r="G26" i="2" s="1"/>
  <c r="G7" i="16"/>
  <c r="F26" i="2" s="1"/>
  <c r="F7" i="16"/>
  <c r="E26" i="2" s="1"/>
  <c r="E7" i="16"/>
  <c r="D26" i="2" s="1"/>
  <c r="D7" i="16"/>
  <c r="C26" i="2" s="1"/>
  <c r="C7" i="16"/>
  <c r="B26" i="2" s="1"/>
  <c r="N6" i="16"/>
  <c r="M34" i="2" s="1"/>
  <c r="M6" i="16"/>
  <c r="L34" i="2" s="1"/>
  <c r="L6" i="16"/>
  <c r="K34" i="2" s="1"/>
  <c r="K6" i="16"/>
  <c r="J34" i="2" s="1"/>
  <c r="J6" i="16"/>
  <c r="I34" i="2" s="1"/>
  <c r="I6" i="16"/>
  <c r="H34" i="2" s="1"/>
  <c r="H6" i="16"/>
  <c r="G34" i="2" s="1"/>
  <c r="G6" i="16"/>
  <c r="F34" i="2" s="1"/>
  <c r="F6" i="16"/>
  <c r="E34" i="2" s="1"/>
  <c r="E6" i="16"/>
  <c r="D34" i="2" s="1"/>
  <c r="D6" i="16"/>
  <c r="C34" i="2" s="1"/>
  <c r="C6" i="16"/>
  <c r="B34" i="2" s="1"/>
  <c r="N5" i="16"/>
  <c r="M27" i="2" s="1"/>
  <c r="P30" i="4" s="1"/>
  <c r="M5" i="16"/>
  <c r="L27" i="2" s="1"/>
  <c r="O30" i="4" s="1"/>
  <c r="L5" i="16"/>
  <c r="K27" i="2" s="1"/>
  <c r="N30" i="4" s="1"/>
  <c r="K5" i="16"/>
  <c r="J27" i="2" s="1"/>
  <c r="M30" i="4" s="1"/>
  <c r="J5" i="16"/>
  <c r="I27" i="2" s="1"/>
  <c r="L30" i="4" s="1"/>
  <c r="I5" i="16"/>
  <c r="H27" i="2" s="1"/>
  <c r="K30" i="4" s="1"/>
  <c r="H5" i="16"/>
  <c r="G27" i="2" s="1"/>
  <c r="J30" i="4" s="1"/>
  <c r="G5" i="16"/>
  <c r="F27" i="2" s="1"/>
  <c r="I30" i="4" s="1"/>
  <c r="F5" i="16"/>
  <c r="E27" i="2" s="1"/>
  <c r="H30" i="4" s="1"/>
  <c r="E5" i="16"/>
  <c r="D27" i="2" s="1"/>
  <c r="G30" i="4" s="1"/>
  <c r="D5" i="16"/>
  <c r="C27" i="2" s="1"/>
  <c r="F30" i="4" s="1"/>
  <c r="C5" i="16"/>
  <c r="B27" i="2" s="1"/>
  <c r="E30" i="4" s="1"/>
  <c r="D8" i="7" l="1"/>
  <c r="B22" i="2"/>
  <c r="B36" i="2"/>
  <c r="E17" i="4"/>
  <c r="E18" i="4"/>
  <c r="E14" i="4"/>
  <c r="E29" i="4"/>
  <c r="G6" i="18" s="1"/>
  <c r="E13" i="4"/>
  <c r="E10" i="4"/>
  <c r="E12" i="4"/>
  <c r="E15" i="4"/>
  <c r="E16" i="4"/>
  <c r="E35" i="4"/>
  <c r="Z4" i="18"/>
  <c r="Z12" i="18" s="1"/>
  <c r="Z13" i="18" s="1"/>
  <c r="Z14" i="18" s="1"/>
  <c r="Z15" i="18" s="1"/>
  <c r="M12" i="18"/>
  <c r="M13" i="18" s="1"/>
  <c r="M14" i="18" s="1"/>
  <c r="M15" i="18" s="1"/>
  <c r="M21" i="18" s="1"/>
  <c r="E7" i="4"/>
  <c r="H15" i="7"/>
  <c r="G15" i="7"/>
  <c r="F15" i="7"/>
  <c r="H6" i="7"/>
  <c r="K6" i="18" s="1"/>
  <c r="X6" i="18" s="1"/>
  <c r="G6" i="7"/>
  <c r="B6" i="7" l="1"/>
  <c r="B15" i="7"/>
  <c r="E31" i="4"/>
  <c r="E39" i="4"/>
  <c r="E38" i="4"/>
  <c r="E6" i="4"/>
  <c r="E11" i="4"/>
  <c r="E36" i="4"/>
  <c r="E5" i="4"/>
  <c r="E26" i="4"/>
  <c r="E28" i="4"/>
  <c r="E27" i="4"/>
  <c r="E32" i="4"/>
  <c r="E34" i="4"/>
  <c r="E33" i="4"/>
  <c r="E37" i="4"/>
  <c r="M24" i="18"/>
  <c r="M25" i="18" s="1"/>
  <c r="M22" i="18"/>
  <c r="K4" i="18"/>
  <c r="K5" i="18"/>
  <c r="X5" i="18" s="1"/>
  <c r="M15" i="7"/>
  <c r="L15" i="7"/>
  <c r="P4" i="18"/>
  <c r="N15" i="7"/>
  <c r="P5" i="18"/>
  <c r="AC5" i="18" s="1"/>
  <c r="P6" i="18"/>
  <c r="AC6" i="18" s="1"/>
  <c r="H5" i="7"/>
  <c r="K5" i="7" s="1"/>
  <c r="G5" i="7"/>
  <c r="D15" i="7" l="1"/>
  <c r="M5" i="7"/>
  <c r="J5" i="18"/>
  <c r="AC4" i="18"/>
  <c r="AC12" i="18" s="1"/>
  <c r="AC13" i="18" s="1"/>
  <c r="AC14" i="18" s="1"/>
  <c r="AC15" i="18" s="1"/>
  <c r="P12" i="18"/>
  <c r="P13" i="18" s="1"/>
  <c r="P14" i="18" s="1"/>
  <c r="P15" i="18" s="1"/>
  <c r="P21" i="18" s="1"/>
  <c r="P22" i="18" s="1"/>
  <c r="P24" i="18" s="1"/>
  <c r="P25" i="18" s="1"/>
  <c r="N5" i="7"/>
  <c r="J6" i="18"/>
  <c r="K12" i="18"/>
  <c r="K13" i="18" s="1"/>
  <c r="K14" i="18" s="1"/>
  <c r="X4" i="18"/>
  <c r="X12" i="18" s="1"/>
  <c r="X13" i="18" s="1"/>
  <c r="X14" i="18" s="1"/>
  <c r="J5" i="7"/>
  <c r="W6" i="18" l="1"/>
  <c r="W5" i="18"/>
  <c r="K15" i="18"/>
  <c r="X15" i="18"/>
  <c r="I13" i="7"/>
  <c r="F13" i="7"/>
  <c r="I12" i="7"/>
  <c r="F12" i="7"/>
  <c r="I11" i="7"/>
  <c r="F11" i="7"/>
  <c r="L12" i="7" l="1"/>
  <c r="H12" i="7"/>
  <c r="G12" i="7"/>
  <c r="K21" i="18"/>
  <c r="N4" i="18"/>
  <c r="N12" i="18" s="1"/>
  <c r="H11" i="7"/>
  <c r="J11" i="7"/>
  <c r="K11" i="7"/>
  <c r="H13" i="7"/>
  <c r="G13" i="7"/>
  <c r="J12" i="7"/>
  <c r="K12" i="7"/>
  <c r="C12" i="7" s="1"/>
  <c r="K13" i="7"/>
  <c r="J13" i="7"/>
  <c r="L13" i="7"/>
  <c r="G11" i="7"/>
  <c r="L11" i="7"/>
  <c r="C13" i="7" l="1"/>
  <c r="B13" i="7"/>
  <c r="B12" i="7"/>
  <c r="B11" i="7"/>
  <c r="C11" i="7"/>
  <c r="N6" i="18"/>
  <c r="AA6" i="18" s="1"/>
  <c r="N11" i="7"/>
  <c r="M11" i="7"/>
  <c r="D11" i="7" s="1"/>
  <c r="N5" i="18"/>
  <c r="AA5" i="18" s="1"/>
  <c r="N13" i="18"/>
  <c r="N14" i="18" s="1"/>
  <c r="N15" i="18" s="1"/>
  <c r="N21" i="18" s="1"/>
  <c r="N22" i="18" s="1"/>
  <c r="N24" i="18" s="1"/>
  <c r="N25" i="18" s="1"/>
  <c r="AA4" i="18"/>
  <c r="AA12" i="18" s="1"/>
  <c r="AA13" i="18" s="1"/>
  <c r="AA14" i="18" s="1"/>
  <c r="AA15" i="18" s="1"/>
  <c r="N13" i="7"/>
  <c r="M13" i="7"/>
  <c r="D13" i="7" s="1"/>
  <c r="K22" i="18"/>
  <c r="M12" i="7"/>
  <c r="N12" i="7"/>
  <c r="G7" i="7"/>
  <c r="H7" i="7"/>
  <c r="F7" i="7"/>
  <c r="N6" i="7"/>
  <c r="M6" i="7"/>
  <c r="L6" i="7"/>
  <c r="D12" i="7" l="1"/>
  <c r="D6" i="7"/>
  <c r="B7" i="7"/>
  <c r="M7" i="7"/>
  <c r="L5" i="18"/>
  <c r="L4" i="18"/>
  <c r="K24" i="18"/>
  <c r="K25" i="18" s="1"/>
  <c r="N7" i="7"/>
  <c r="L6" i="18"/>
  <c r="L7" i="7"/>
  <c r="D7" i="7" s="1"/>
  <c r="L12" i="18" l="1"/>
  <c r="L13" i="18" s="1"/>
  <c r="L14" i="18" s="1"/>
  <c r="Y4" i="18"/>
  <c r="Y12" i="18" s="1"/>
  <c r="Y13" i="18" s="1"/>
  <c r="Y14" i="18" s="1"/>
  <c r="Y5" i="18"/>
  <c r="Y6" i="18"/>
  <c r="C1" i="2"/>
  <c r="C22" i="2" l="1"/>
  <c r="Y15" i="18"/>
  <c r="L15" i="18"/>
  <c r="D1" i="2"/>
  <c r="C6" i="3"/>
  <c r="D6" i="3"/>
  <c r="E6" i="3"/>
  <c r="F6" i="3"/>
  <c r="G6" i="3"/>
  <c r="H6" i="3"/>
  <c r="I6" i="3"/>
  <c r="J6" i="3"/>
  <c r="K6" i="3"/>
  <c r="L6" i="3"/>
  <c r="M6" i="3"/>
  <c r="N6" i="3"/>
  <c r="C7" i="3"/>
  <c r="D7" i="3"/>
  <c r="E7" i="3"/>
  <c r="F7" i="3"/>
  <c r="G7" i="3"/>
  <c r="H7" i="3"/>
  <c r="I7" i="3"/>
  <c r="J7" i="3"/>
  <c r="K7" i="3"/>
  <c r="L7" i="3"/>
  <c r="M7" i="3"/>
  <c r="N7" i="3"/>
  <c r="C8" i="3"/>
  <c r="D8" i="3"/>
  <c r="E8" i="3"/>
  <c r="F8" i="3"/>
  <c r="G8" i="3"/>
  <c r="H8" i="3"/>
  <c r="I8" i="3"/>
  <c r="J8" i="3"/>
  <c r="K8" i="3"/>
  <c r="L8" i="3"/>
  <c r="M8" i="3"/>
  <c r="N8" i="3"/>
  <c r="C9" i="3"/>
  <c r="D9" i="3"/>
  <c r="E9" i="3"/>
  <c r="F9" i="3"/>
  <c r="G9" i="3"/>
  <c r="H9" i="3"/>
  <c r="I9" i="3"/>
  <c r="J9" i="3"/>
  <c r="K9" i="3"/>
  <c r="L9" i="3"/>
  <c r="M9" i="3"/>
  <c r="N9" i="3"/>
  <c r="C10" i="3"/>
  <c r="D10" i="3"/>
  <c r="E10" i="3"/>
  <c r="F10" i="3"/>
  <c r="G10" i="3"/>
  <c r="H10" i="3"/>
  <c r="I10" i="3"/>
  <c r="J10" i="3"/>
  <c r="K10" i="3"/>
  <c r="L10" i="3"/>
  <c r="M10" i="3"/>
  <c r="N10" i="3"/>
  <c r="C11" i="3"/>
  <c r="D11" i="3"/>
  <c r="E11" i="3"/>
  <c r="F11" i="3"/>
  <c r="G11" i="3"/>
  <c r="H11" i="3"/>
  <c r="I11" i="3"/>
  <c r="J11" i="3"/>
  <c r="K11" i="3"/>
  <c r="L11" i="3"/>
  <c r="M11" i="3"/>
  <c r="N11" i="3"/>
  <c r="C12" i="3"/>
  <c r="D12" i="3"/>
  <c r="E12" i="3"/>
  <c r="F12" i="3"/>
  <c r="G12" i="3"/>
  <c r="H12" i="3"/>
  <c r="I12" i="3"/>
  <c r="J12" i="3"/>
  <c r="K12" i="3"/>
  <c r="L12" i="3"/>
  <c r="M12" i="3"/>
  <c r="N12" i="3"/>
  <c r="C13" i="3"/>
  <c r="D13" i="3"/>
  <c r="E13" i="3"/>
  <c r="F13" i="3"/>
  <c r="G13" i="3"/>
  <c r="H13" i="3"/>
  <c r="I13" i="3"/>
  <c r="J13" i="3"/>
  <c r="K13" i="3"/>
  <c r="L13" i="3"/>
  <c r="M13" i="3"/>
  <c r="N13" i="3"/>
  <c r="C14" i="3"/>
  <c r="D14" i="3"/>
  <c r="E14" i="3"/>
  <c r="F14" i="3"/>
  <c r="G14" i="3"/>
  <c r="H14" i="3"/>
  <c r="I14" i="3"/>
  <c r="J14" i="3"/>
  <c r="K14" i="3"/>
  <c r="L14" i="3"/>
  <c r="M14" i="3"/>
  <c r="N14" i="3"/>
  <c r="C15" i="3"/>
  <c r="D15" i="3"/>
  <c r="E15" i="3"/>
  <c r="F15" i="3"/>
  <c r="G15" i="3"/>
  <c r="H15" i="3"/>
  <c r="I15" i="3"/>
  <c r="J15" i="3"/>
  <c r="K15" i="3"/>
  <c r="L15" i="3"/>
  <c r="M15" i="3"/>
  <c r="N15" i="3"/>
  <c r="C16" i="3"/>
  <c r="D16" i="3"/>
  <c r="E16" i="3"/>
  <c r="F16" i="3"/>
  <c r="G16" i="3"/>
  <c r="H16" i="3"/>
  <c r="I16" i="3"/>
  <c r="J16" i="3"/>
  <c r="K16" i="3"/>
  <c r="L16" i="3"/>
  <c r="M16" i="3"/>
  <c r="N16" i="3"/>
  <c r="C17" i="3"/>
  <c r="D17" i="3"/>
  <c r="E17" i="3"/>
  <c r="F17" i="3"/>
  <c r="G17" i="3"/>
  <c r="H17" i="3"/>
  <c r="I17" i="3"/>
  <c r="J17" i="3"/>
  <c r="K17" i="3"/>
  <c r="L17" i="3"/>
  <c r="M17" i="3"/>
  <c r="N17" i="3"/>
  <c r="C18" i="3"/>
  <c r="D18" i="3"/>
  <c r="E18" i="3"/>
  <c r="F18" i="3"/>
  <c r="G18" i="3"/>
  <c r="H18" i="3"/>
  <c r="I18" i="3"/>
  <c r="J18" i="3"/>
  <c r="K18" i="3"/>
  <c r="L18" i="3"/>
  <c r="M18" i="3"/>
  <c r="N18" i="3"/>
  <c r="D5" i="3"/>
  <c r="E5" i="3"/>
  <c r="F5" i="3"/>
  <c r="G5" i="3"/>
  <c r="H5" i="3"/>
  <c r="I5" i="3"/>
  <c r="J5" i="3"/>
  <c r="K5" i="3"/>
  <c r="L5" i="3"/>
  <c r="M5" i="3"/>
  <c r="N5" i="3"/>
  <c r="C5" i="3"/>
  <c r="F29" i="4" l="1"/>
  <c r="F8" i="4"/>
  <c r="F31" i="4"/>
  <c r="F5" i="4"/>
  <c r="F39" i="4"/>
  <c r="F28" i="4"/>
  <c r="F16" i="4"/>
  <c r="G21" i="18" s="1"/>
  <c r="F33" i="4"/>
  <c r="F7" i="4"/>
  <c r="G5" i="18" s="1"/>
  <c r="F18" i="4"/>
  <c r="G24" i="18" s="1"/>
  <c r="F17" i="4"/>
  <c r="G22" i="18" s="1"/>
  <c r="F12" i="4"/>
  <c r="F13" i="4"/>
  <c r="G25" i="18" s="1"/>
  <c r="F37" i="4"/>
  <c r="F36" i="4"/>
  <c r="F35" i="4"/>
  <c r="F34" i="4"/>
  <c r="F25" i="4"/>
  <c r="F27" i="4"/>
  <c r="F11" i="4"/>
  <c r="F14" i="4"/>
  <c r="F4" i="4"/>
  <c r="F6" i="4"/>
  <c r="F26" i="4"/>
  <c r="F38" i="4"/>
  <c r="F32" i="4"/>
  <c r="F15" i="4"/>
  <c r="F10" i="4"/>
  <c r="D22" i="2"/>
  <c r="L21" i="18"/>
  <c r="E25" i="4"/>
  <c r="E4" i="4"/>
  <c r="E1" i="2"/>
  <c r="G4" i="18" l="1"/>
  <c r="B43" i="4"/>
  <c r="G29" i="4"/>
  <c r="G8" i="4"/>
  <c r="G12" i="4"/>
  <c r="G26" i="4"/>
  <c r="G13" i="4"/>
  <c r="G11" i="4"/>
  <c r="G5" i="4"/>
  <c r="G14" i="4"/>
  <c r="G35" i="4"/>
  <c r="G27" i="4"/>
  <c r="G31" i="4"/>
  <c r="G4" i="4"/>
  <c r="G37" i="4"/>
  <c r="G32" i="4"/>
  <c r="G28" i="4"/>
  <c r="G14" i="7" s="1"/>
  <c r="G33" i="4"/>
  <c r="G10" i="4"/>
  <c r="G16" i="4"/>
  <c r="G17" i="4"/>
  <c r="G25" i="4"/>
  <c r="G39" i="4"/>
  <c r="G15" i="4"/>
  <c r="G18" i="4"/>
  <c r="O24" i="18" s="1"/>
  <c r="G6" i="4"/>
  <c r="G34" i="4"/>
  <c r="G38" i="4"/>
  <c r="G36" i="4"/>
  <c r="G7" i="4"/>
  <c r="E22" i="2"/>
  <c r="T5" i="18"/>
  <c r="T4" i="18"/>
  <c r="L22" i="18"/>
  <c r="F1" i="2"/>
  <c r="H14" i="7" l="1"/>
  <c r="K14" i="7"/>
  <c r="O5" i="18"/>
  <c r="AB5" i="18" s="1"/>
  <c r="F14" i="7"/>
  <c r="F17" i="7" s="1"/>
  <c r="M14" i="7"/>
  <c r="N14" i="7"/>
  <c r="N17" i="7" s="1"/>
  <c r="J14" i="7"/>
  <c r="I14" i="7" s="1"/>
  <c r="I17" i="7" s="1"/>
  <c r="G17" i="7"/>
  <c r="H29" i="4"/>
  <c r="H8" i="4"/>
  <c r="K17" i="7"/>
  <c r="H6" i="4"/>
  <c r="H25" i="4"/>
  <c r="H34" i="4"/>
  <c r="H5" i="4"/>
  <c r="H26" i="4"/>
  <c r="H16" i="4"/>
  <c r="H12" i="4"/>
  <c r="H28" i="4"/>
  <c r="H18" i="4"/>
  <c r="H36" i="4"/>
  <c r="H17" i="4"/>
  <c r="H7" i="4"/>
  <c r="H39" i="4"/>
  <c r="H13" i="4"/>
  <c r="H15" i="4"/>
  <c r="H11" i="4"/>
  <c r="H4" i="4"/>
  <c r="H37" i="4"/>
  <c r="H14" i="4"/>
  <c r="H27" i="4"/>
  <c r="H31" i="4"/>
  <c r="H35" i="4"/>
  <c r="H33" i="4"/>
  <c r="H38" i="4"/>
  <c r="H32" i="4"/>
  <c r="H10" i="4"/>
  <c r="F22" i="2"/>
  <c r="T6" i="18"/>
  <c r="L24" i="18"/>
  <c r="L25" i="18" s="1"/>
  <c r="G1" i="2"/>
  <c r="O4" i="18" l="1"/>
  <c r="AB4" i="18" s="1"/>
  <c r="AB12" i="18" s="1"/>
  <c r="AB13" i="18" s="1"/>
  <c r="AB14" i="18" s="1"/>
  <c r="AB15" i="18" s="1"/>
  <c r="L14" i="7"/>
  <c r="L17" i="7" s="1"/>
  <c r="M17" i="7"/>
  <c r="D17" i="7" s="1"/>
  <c r="C17" i="7"/>
  <c r="J17" i="7"/>
  <c r="O6" i="18"/>
  <c r="H17" i="7"/>
  <c r="B17" i="7" s="1"/>
  <c r="D14" i="7"/>
  <c r="B14" i="7"/>
  <c r="C14" i="7"/>
  <c r="O12" i="18"/>
  <c r="I29" i="4"/>
  <c r="I8" i="4"/>
  <c r="I6" i="4"/>
  <c r="I39" i="4"/>
  <c r="I32" i="4"/>
  <c r="I35" i="4"/>
  <c r="I18" i="4"/>
  <c r="I37" i="4"/>
  <c r="I27" i="4"/>
  <c r="I5" i="4"/>
  <c r="I12" i="4"/>
  <c r="I10" i="4"/>
  <c r="I4" i="4"/>
  <c r="I36" i="4"/>
  <c r="I38" i="4"/>
  <c r="I14" i="4"/>
  <c r="I16" i="4"/>
  <c r="I11" i="4"/>
  <c r="I31" i="4"/>
  <c r="I17" i="4"/>
  <c r="I28" i="4"/>
  <c r="I15" i="4"/>
  <c r="I7" i="4"/>
  <c r="I13" i="4"/>
  <c r="I34" i="4"/>
  <c r="I25" i="4"/>
  <c r="I26" i="4"/>
  <c r="I33" i="4"/>
  <c r="G22" i="2"/>
  <c r="AB6" i="18"/>
  <c r="H1" i="2"/>
  <c r="O13" i="18" l="1"/>
  <c r="O14" i="18" s="1"/>
  <c r="O15" i="18" s="1"/>
  <c r="O21" i="18"/>
  <c r="J29" i="4"/>
  <c r="J8" i="4"/>
  <c r="J14" i="4"/>
  <c r="J25" i="4"/>
  <c r="J13" i="4"/>
  <c r="J34" i="4"/>
  <c r="J5" i="4"/>
  <c r="J12" i="4"/>
  <c r="J6" i="4"/>
  <c r="J36" i="4"/>
  <c r="J33" i="4"/>
  <c r="J18" i="4"/>
  <c r="J17" i="4"/>
  <c r="J4" i="4"/>
  <c r="J32" i="4"/>
  <c r="J26" i="4"/>
  <c r="J37" i="4"/>
  <c r="J11" i="4"/>
  <c r="J38" i="4"/>
  <c r="J31" i="4"/>
  <c r="J16" i="4"/>
  <c r="J27" i="4"/>
  <c r="J39" i="4"/>
  <c r="J35" i="4"/>
  <c r="J15" i="4"/>
  <c r="J7" i="4"/>
  <c r="J28" i="4"/>
  <c r="J10" i="4"/>
  <c r="H22" i="2"/>
  <c r="I1" i="2"/>
  <c r="O22" i="18" l="1"/>
  <c r="O25" i="18"/>
  <c r="K8" i="4"/>
  <c r="K29" i="4"/>
  <c r="K25" i="4"/>
  <c r="K38" i="4"/>
  <c r="K12" i="4"/>
  <c r="K10" i="4"/>
  <c r="K27" i="4"/>
  <c r="K37" i="4"/>
  <c r="K26" i="4"/>
  <c r="K13" i="4"/>
  <c r="K14" i="4"/>
  <c r="K18" i="4"/>
  <c r="K31" i="4"/>
  <c r="K6" i="4"/>
  <c r="K33" i="4"/>
  <c r="K16" i="4"/>
  <c r="K7" i="4"/>
  <c r="K35" i="4"/>
  <c r="K11" i="4"/>
  <c r="K17" i="4"/>
  <c r="K15" i="4"/>
  <c r="K39" i="4"/>
  <c r="K28" i="4"/>
  <c r="K36" i="4"/>
  <c r="K4" i="4"/>
  <c r="K5" i="4"/>
  <c r="K32" i="4"/>
  <c r="K34" i="4"/>
  <c r="I22" i="2"/>
  <c r="J1" i="2"/>
  <c r="L29" i="4" l="1"/>
  <c r="F5" i="7" s="1"/>
  <c r="L8" i="4"/>
  <c r="L15" i="4"/>
  <c r="L7" i="4"/>
  <c r="L16" i="4"/>
  <c r="J21" i="18" s="1"/>
  <c r="L4" i="4"/>
  <c r="L37" i="4"/>
  <c r="L31" i="4"/>
  <c r="L10" i="4"/>
  <c r="L6" i="4"/>
  <c r="L28" i="4"/>
  <c r="L18" i="4"/>
  <c r="J24" i="18" s="1"/>
  <c r="L5" i="4"/>
  <c r="L14" i="4"/>
  <c r="L5" i="7" s="1"/>
  <c r="D5" i="7" s="1"/>
  <c r="L39" i="4"/>
  <c r="L33" i="4"/>
  <c r="L11" i="4"/>
  <c r="L17" i="4"/>
  <c r="J22" i="18" s="1"/>
  <c r="L34" i="4"/>
  <c r="L26" i="4"/>
  <c r="L36" i="4"/>
  <c r="L12" i="4"/>
  <c r="I5" i="7" s="1"/>
  <c r="C5" i="7" s="1"/>
  <c r="L35" i="4"/>
  <c r="L25" i="4"/>
  <c r="L27" i="4"/>
  <c r="L13" i="4"/>
  <c r="J25" i="18" s="1"/>
  <c r="L38" i="4"/>
  <c r="L32" i="4"/>
  <c r="J22" i="2"/>
  <c r="K1" i="2"/>
  <c r="J4" i="18" l="1"/>
  <c r="J12" i="18" s="1"/>
  <c r="B5" i="7"/>
  <c r="M29" i="4"/>
  <c r="H4" i="7" s="1"/>
  <c r="H9" i="7" s="1"/>
  <c r="H19" i="7" s="1"/>
  <c r="M8" i="4"/>
  <c r="F4" i="7" s="1"/>
  <c r="M10" i="4"/>
  <c r="M7" i="4"/>
  <c r="G4" i="7" s="1"/>
  <c r="G9" i="7" s="1"/>
  <c r="G19" i="7" s="1"/>
  <c r="M6" i="4"/>
  <c r="M28" i="4"/>
  <c r="M4" i="4"/>
  <c r="M15" i="4"/>
  <c r="M4" i="7" s="1"/>
  <c r="M9" i="7" s="1"/>
  <c r="M19" i="7" s="1"/>
  <c r="M27" i="4"/>
  <c r="M26" i="4"/>
  <c r="M37" i="4"/>
  <c r="M12" i="4"/>
  <c r="I4" i="7" s="1"/>
  <c r="M34" i="4"/>
  <c r="M17" i="4"/>
  <c r="H22" i="18" s="1"/>
  <c r="I22" i="18" s="1"/>
  <c r="M31" i="4"/>
  <c r="M13" i="4"/>
  <c r="H25" i="18" s="1"/>
  <c r="I25" i="18" s="1"/>
  <c r="M18" i="4"/>
  <c r="H24" i="18" s="1"/>
  <c r="I24" i="18" s="1"/>
  <c r="M32" i="4"/>
  <c r="M11" i="4"/>
  <c r="J4" i="7" s="1"/>
  <c r="J9" i="7" s="1"/>
  <c r="J19" i="7" s="1"/>
  <c r="M33" i="4"/>
  <c r="K4" i="7" s="1"/>
  <c r="M35" i="4"/>
  <c r="M25" i="4"/>
  <c r="M16" i="4"/>
  <c r="H21" i="18" s="1"/>
  <c r="I21" i="18" s="1"/>
  <c r="M38" i="4"/>
  <c r="M36" i="4"/>
  <c r="M39" i="4"/>
  <c r="M5" i="4"/>
  <c r="M14" i="4"/>
  <c r="L4" i="7" s="1"/>
  <c r="L9" i="7" s="1"/>
  <c r="K22" i="2"/>
  <c r="L1" i="2"/>
  <c r="W4" i="18" l="1"/>
  <c r="R25" i="18"/>
  <c r="D25" i="18" s="1"/>
  <c r="D42" i="18" s="1"/>
  <c r="R22" i="18"/>
  <c r="D22" i="18" s="1"/>
  <c r="D40" i="18" s="1"/>
  <c r="R24" i="18"/>
  <c r="D24" i="18" s="1"/>
  <c r="D41" i="18" s="1"/>
  <c r="R21" i="18"/>
  <c r="D21" i="18" s="1"/>
  <c r="D39" i="18" s="1"/>
  <c r="B4" i="7"/>
  <c r="L19" i="7"/>
  <c r="I9" i="7"/>
  <c r="C4" i="7"/>
  <c r="H6" i="18"/>
  <c r="U6" i="18" s="1"/>
  <c r="H4" i="18"/>
  <c r="H14" i="18" s="1"/>
  <c r="I14" i="18" s="1"/>
  <c r="R14" i="18" s="1"/>
  <c r="E14" i="18" s="1"/>
  <c r="C37" i="18" s="1"/>
  <c r="N4" i="7"/>
  <c r="N9" i="7" s="1"/>
  <c r="N29" i="4"/>
  <c r="N8" i="4"/>
  <c r="H5" i="18"/>
  <c r="U5" i="18" s="1"/>
  <c r="N17" i="4"/>
  <c r="N31" i="4"/>
  <c r="N10" i="4"/>
  <c r="N13" i="4"/>
  <c r="N39" i="4"/>
  <c r="N38" i="4"/>
  <c r="N5" i="4"/>
  <c r="N35" i="4"/>
  <c r="N27" i="4"/>
  <c r="N6" i="4"/>
  <c r="N15" i="4"/>
  <c r="N4" i="4"/>
  <c r="N14" i="4"/>
  <c r="N26" i="4"/>
  <c r="N37" i="4"/>
  <c r="N34" i="4"/>
  <c r="N28" i="4"/>
  <c r="N36" i="4"/>
  <c r="N18" i="4"/>
  <c r="N16" i="4"/>
  <c r="N25" i="4"/>
  <c r="N33" i="4"/>
  <c r="N7" i="4"/>
  <c r="N11" i="4"/>
  <c r="N32" i="4"/>
  <c r="N12" i="4"/>
  <c r="F9" i="7"/>
  <c r="L22" i="2"/>
  <c r="K9" i="7"/>
  <c r="K19" i="7" s="1"/>
  <c r="W12" i="18"/>
  <c r="J13" i="18"/>
  <c r="M1" i="2"/>
  <c r="B9" i="7" l="1"/>
  <c r="F19" i="7"/>
  <c r="C9" i="7"/>
  <c r="H12" i="18"/>
  <c r="H13" i="18" s="1"/>
  <c r="I13" i="18" s="1"/>
  <c r="R13" i="18" s="1"/>
  <c r="E13" i="18" s="1"/>
  <c r="C36" i="18" s="1"/>
  <c r="U4" i="18"/>
  <c r="U12" i="18" s="1"/>
  <c r="U13" i="18" s="1"/>
  <c r="I6" i="18"/>
  <c r="I4" i="18"/>
  <c r="R4" i="18" s="1"/>
  <c r="C8" i="18" s="1"/>
  <c r="D4" i="7"/>
  <c r="D9" i="7"/>
  <c r="B19" i="7"/>
  <c r="N19" i="7"/>
  <c r="D19" i="7" s="1"/>
  <c r="H15" i="18"/>
  <c r="I15" i="18" s="1"/>
  <c r="R15" i="18" s="1"/>
  <c r="E15" i="18" s="1"/>
  <c r="C38" i="18" s="1"/>
  <c r="O29" i="4"/>
  <c r="I5" i="18"/>
  <c r="O8" i="4"/>
  <c r="O13" i="4"/>
  <c r="O6" i="4"/>
  <c r="O32" i="4"/>
  <c r="O10" i="4"/>
  <c r="O26" i="4"/>
  <c r="O38" i="4"/>
  <c r="O4" i="4"/>
  <c r="O35" i="4"/>
  <c r="O37" i="4"/>
  <c r="O25" i="4"/>
  <c r="O15" i="4"/>
  <c r="O28" i="4"/>
  <c r="O11" i="4"/>
  <c r="O33" i="4"/>
  <c r="O14" i="4"/>
  <c r="O36" i="4"/>
  <c r="O12" i="4"/>
  <c r="O39" i="4"/>
  <c r="O27" i="4"/>
  <c r="O34" i="4"/>
  <c r="O5" i="4"/>
  <c r="O17" i="4"/>
  <c r="O16" i="4"/>
  <c r="O31" i="4"/>
  <c r="O7" i="4"/>
  <c r="O18" i="4"/>
  <c r="M22" i="2"/>
  <c r="W13" i="18"/>
  <c r="I19" i="7"/>
  <c r="C19" i="7" s="1"/>
  <c r="V12" i="18" l="1"/>
  <c r="AE12" i="18" s="1"/>
  <c r="C12" i="18" s="1"/>
  <c r="I12" i="18"/>
  <c r="R12" i="18" s="1"/>
  <c r="E12" i="18" s="1"/>
  <c r="C35" i="18" s="1"/>
  <c r="V4" i="18"/>
  <c r="AE4" i="18" s="1"/>
  <c r="V5" i="18"/>
  <c r="AE5" i="18" s="1"/>
  <c r="R5" i="18"/>
  <c r="V6" i="18"/>
  <c r="AE6" i="18" s="1"/>
  <c r="R6" i="18"/>
  <c r="P29" i="4"/>
  <c r="P8" i="4"/>
  <c r="P7" i="4"/>
  <c r="P36" i="4"/>
  <c r="P11" i="4"/>
  <c r="P25" i="4"/>
  <c r="P37" i="4"/>
  <c r="P13" i="4"/>
  <c r="P18" i="4"/>
  <c r="P38" i="4"/>
  <c r="P32" i="4"/>
  <c r="P4" i="4"/>
  <c r="P35" i="4"/>
  <c r="P16" i="4"/>
  <c r="P33" i="4"/>
  <c r="P39" i="4"/>
  <c r="P15" i="4"/>
  <c r="P27" i="4"/>
  <c r="P26" i="4"/>
  <c r="P14" i="4"/>
  <c r="P5" i="4"/>
  <c r="P12" i="4"/>
  <c r="P34" i="4"/>
  <c r="P31" i="4"/>
  <c r="P6" i="4"/>
  <c r="P28" i="4"/>
  <c r="P17" i="4"/>
  <c r="P10" i="4"/>
  <c r="B42" i="4" s="1"/>
  <c r="E35" i="18"/>
  <c r="C39" i="18"/>
  <c r="V13" i="18"/>
  <c r="U14" i="18"/>
  <c r="D12" i="18"/>
  <c r="D35" i="18" l="1"/>
  <c r="C29" i="18"/>
  <c r="AE13" i="18"/>
  <c r="C13" i="18" s="1"/>
  <c r="D36" i="18" s="1"/>
  <c r="E36" i="18"/>
  <c r="C40" i="18"/>
  <c r="V14" i="18"/>
  <c r="U15" i="18"/>
  <c r="V15" i="18" s="1"/>
  <c r="D13" i="18"/>
  <c r="D29" i="18"/>
  <c r="AE15" i="18" l="1"/>
  <c r="C15" i="18" s="1"/>
  <c r="D38" i="18" s="1"/>
  <c r="AE14" i="18"/>
  <c r="C14" i="18" s="1"/>
  <c r="D37" i="18" s="1"/>
  <c r="C30" i="18"/>
  <c r="E37" i="18"/>
  <c r="C41" i="18"/>
  <c r="D30" i="18"/>
  <c r="D14" i="18"/>
  <c r="E38" i="18" l="1"/>
  <c r="C42" i="18"/>
  <c r="C31" i="18"/>
  <c r="D31" i="18"/>
  <c r="D15" i="18"/>
  <c r="E39" i="18" s="1"/>
  <c r="D32" i="18" l="1"/>
  <c r="C32" i="18"/>
</calcChain>
</file>

<file path=xl/sharedStrings.xml><?xml version="1.0" encoding="utf-8"?>
<sst xmlns="http://schemas.openxmlformats.org/spreadsheetml/2006/main" count="714" uniqueCount="230">
  <si>
    <t>CV</t>
  </si>
  <si>
    <t>All_Major_Capex_30_70</t>
  </si>
  <si>
    <t>All_major_capex</t>
  </si>
  <si>
    <t>All_major_capex_2024</t>
  </si>
  <si>
    <t>All_major_capex_alternative</t>
  </si>
  <si>
    <t>All_major_capex_gen_benefits</t>
  </si>
  <si>
    <t>All_major_capex_tiwai_off</t>
  </si>
  <si>
    <t>Demand</t>
  </si>
  <si>
    <t>Demand_and_DG_investment</t>
  </si>
  <si>
    <t>Demand_and_gen_investment</t>
  </si>
  <si>
    <t>Demand_major_capex</t>
  </si>
  <si>
    <t>Demand_no_aob_on_existing</t>
  </si>
  <si>
    <t>MWh_Demand_major_capex</t>
  </si>
  <si>
    <t>No_AoB_on_existing</t>
  </si>
  <si>
    <t>WUNI</t>
  </si>
  <si>
    <t>CS</t>
  </si>
  <si>
    <t>Central scenario = Demand effects + generation effects + battery investment + unapproved major capex</t>
  </si>
  <si>
    <t>Demand effects of proposal only (no batteries and constant energy prices)</t>
  </si>
  <si>
    <t>Demand effects of proposal + battery investment</t>
  </si>
  <si>
    <t>Demand effects of proposal + generation effects</t>
  </si>
  <si>
    <t>Demand effects of proposal only (no batteries and constant energy prices) + unapproved major capex</t>
  </si>
  <si>
    <t>Description</t>
  </si>
  <si>
    <t>Scenario #</t>
  </si>
  <si>
    <t>Alternative</t>
  </si>
  <si>
    <t>Consumer surplus measure</t>
  </si>
  <si>
    <t>Scenario name</t>
  </si>
  <si>
    <t>Gross change in consumer welfare</t>
  </si>
  <si>
    <t>Gross change in consumer welfare, excluding energy price changes</t>
  </si>
  <si>
    <t>Transmission cost</t>
  </si>
  <si>
    <t>Baseline interconnection charges - load</t>
  </si>
  <si>
    <t>Proposal interconnection charges - load</t>
  </si>
  <si>
    <t>Baseline interconnection charges - generation</t>
  </si>
  <si>
    <t>Proposal interconnection charges - generation</t>
  </si>
  <si>
    <t>Change in interconnection charges, load</t>
  </si>
  <si>
    <t>Net benefit</t>
  </si>
  <si>
    <t>Net benefit, holding energy prices constant</t>
  </si>
  <si>
    <t>Main scenarios</t>
  </si>
  <si>
    <t>Sensitivities</t>
  </si>
  <si>
    <t>Consumer surplus welfare measures</t>
  </si>
  <si>
    <t>(1) + no AoB charge on existing assets</t>
  </si>
  <si>
    <t>Change in interconnection charges, generation</t>
  </si>
  <si>
    <t>--</t>
  </si>
  <si>
    <t>No AoB on existing</t>
  </si>
  <si>
    <t>All major capex</t>
  </si>
  <si>
    <t>Inefficient battery investment</t>
  </si>
  <si>
    <t>Quantified benefits</t>
  </si>
  <si>
    <t>Proposal</t>
  </si>
  <si>
    <t>Alternative  (MWh)</t>
  </si>
  <si>
    <t>More efficient grid use</t>
  </si>
  <si>
    <t>More efficient investment in batteries</t>
  </si>
  <si>
    <t>More efficient investment in generation and large load</t>
  </si>
  <si>
    <t>More efficient grid investment – scrutiny of investment proposals</t>
  </si>
  <si>
    <t>Total quantified benefits</t>
  </si>
  <si>
    <t>Quantified costs</t>
  </si>
  <si>
    <t>TPM development / approval</t>
  </si>
  <si>
    <t>TPM implementation costs</t>
  </si>
  <si>
    <t>TPM operational costs</t>
  </si>
  <si>
    <t>Grid investment brought forward</t>
  </si>
  <si>
    <t>Load not locating in regions with recent grid investment</t>
  </si>
  <si>
    <t>Total quantified costs</t>
  </si>
  <si>
    <t>Results</t>
  </si>
  <si>
    <t>Net (benefits less costs)</t>
  </si>
  <si>
    <t>Central</t>
  </si>
  <si>
    <t>Low</t>
  </si>
  <si>
    <t>High</t>
  </si>
  <si>
    <t>Mean of monte carlo</t>
  </si>
  <si>
    <t>MWh demand major capex, CS measure</t>
  </si>
  <si>
    <t>All major capex , alternative</t>
  </si>
  <si>
    <t>Summary - present valued benefits ($ millions)</t>
  </si>
  <si>
    <t>Lower sensitivity</t>
  </si>
  <si>
    <t>Upper sensitivity</t>
  </si>
  <si>
    <t>More efficient investment in generation and load</t>
  </si>
  <si>
    <t>Scrutiny of major capex</t>
  </si>
  <si>
    <t>Scrutiny of base capex</t>
  </si>
  <si>
    <t xml:space="preserve">Total </t>
  </si>
  <si>
    <t>Demand major capex</t>
  </si>
  <si>
    <t>Alternative, major capex</t>
  </si>
  <si>
    <t>MWh demand, major capex</t>
  </si>
  <si>
    <t>Cost category</t>
  </si>
  <si>
    <t>2019 proposed TPM guidelines</t>
  </si>
  <si>
    <t>Current TPM guidelines</t>
  </si>
  <si>
    <t>Transpower TPM development cost</t>
  </si>
  <si>
    <t>Authority TPM approval cost</t>
  </si>
  <si>
    <t>Stakeholder participation cost</t>
  </si>
  <si>
    <t>Legal challenge cost</t>
  </si>
  <si>
    <t>Total</t>
  </si>
  <si>
    <t>Transpower TPM implementation cost</t>
  </si>
  <si>
    <t>DTC implementation cost</t>
  </si>
  <si>
    <t>Negligible</t>
  </si>
  <si>
    <t>Not applicable</t>
  </si>
  <si>
    <t>Transpower year 1 administration cost</t>
  </si>
  <si>
    <t>Transpower years 2-5 administration cost</t>
  </si>
  <si>
    <t>Transpower years 6-30 administration cost</t>
  </si>
  <si>
    <t>Stakeholder ongoing cost – transmission asset optimisation</t>
  </si>
  <si>
    <t>TPM ongoing/operational costs</t>
  </si>
  <si>
    <t>Annual cost decline factor</t>
  </si>
  <si>
    <t>Investment response</t>
  </si>
  <si>
    <t>PV investment change ($2018)</t>
  </si>
  <si>
    <t>5th percentile</t>
  </si>
  <si>
    <t>50th percentile</t>
  </si>
  <si>
    <t>Mean</t>
  </si>
  <si>
    <t>95th percentile</t>
  </si>
  <si>
    <t>Value</t>
  </si>
  <si>
    <t>Gross benefit</t>
  </si>
  <si>
    <t>Generation benefit</t>
  </si>
  <si>
    <t>Demand gross benefit</t>
  </si>
  <si>
    <t>Demand cost</t>
  </si>
  <si>
    <t>Demand net benefit</t>
  </si>
  <si>
    <t>Generation and load investment efficiencies</t>
  </si>
  <si>
    <t>Durability</t>
  </si>
  <si>
    <t>Scrutiny</t>
  </si>
  <si>
    <t>Of major capex</t>
  </si>
  <si>
    <t>Grid use</t>
  </si>
  <si>
    <t>Batteries</t>
  </si>
  <si>
    <t>Gen &amp; load investment</t>
  </si>
  <si>
    <t>Costs</t>
  </si>
  <si>
    <t>Displaced load</t>
  </si>
  <si>
    <t>Transmission investment</t>
  </si>
  <si>
    <t>Implementaion and admin</t>
  </si>
  <si>
    <t>Generation investment parameters</t>
  </si>
  <si>
    <t>Aggregate demand elasticity parameters</t>
  </si>
  <si>
    <t>Battery cost sensitivity</t>
  </si>
  <si>
    <t>Battery investment response sensitivity</t>
  </si>
  <si>
    <t>Generation investment and energy price sensitivities</t>
  </si>
  <si>
    <t>Base scenario is the main scenario "All major capex"</t>
  </si>
  <si>
    <t>Price elasticity of demand</t>
  </si>
  <si>
    <t>PV consumer welfare change</t>
  </si>
  <si>
    <t>PV consumer welfare change without energy price effect</t>
  </si>
  <si>
    <t>Mass market</t>
  </si>
  <si>
    <t>Industrial</t>
  </si>
  <si>
    <t>Compensating variation</t>
  </si>
  <si>
    <t>Multiplier</t>
  </si>
  <si>
    <t>Maximum investments per year</t>
  </si>
  <si>
    <t>Central case</t>
  </si>
  <si>
    <t>Rate of growth in capital costs</t>
  </si>
  <si>
    <t>Supply elasticity (0.5, implies a 1% cost advantage increases investment by 0.5%)</t>
  </si>
  <si>
    <t>Base scenario is the main scenario "All major capex" BUT WITH BATTERY INVESTMENT EFFECTS REMOVED</t>
  </si>
  <si>
    <t>Base case</t>
  </si>
  <si>
    <t>Tax</t>
  </si>
  <si>
    <t>Net</t>
  </si>
  <si>
    <t xml:space="preserve"> - Larger generation benefits</t>
  </si>
  <si>
    <t xml:space="preserve"> - 30/70 economic vs AMD</t>
  </si>
  <si>
    <t>TPM changed in 2024</t>
  </si>
  <si>
    <t>Increased certainty for investors</t>
  </si>
  <si>
    <t>Reduced uncertainty for investors</t>
  </si>
  <si>
    <t>Certainty</t>
  </si>
  <si>
    <t>Discount factor for 2 year delay</t>
  </si>
  <si>
    <t>Tiwai smelter closes in 2030</t>
  </si>
  <si>
    <t>Battery cost</t>
  </si>
  <si>
    <t>Battery investment response</t>
  </si>
  <si>
    <t>Aggregate demand elasticity</t>
  </si>
  <si>
    <t>Generation investment</t>
  </si>
  <si>
    <t>Aggregate demand elasticity sensitivities</t>
  </si>
  <si>
    <t>DG/battery investment sensitivities</t>
  </si>
  <si>
    <t>Demand, no aob on existing</t>
  </si>
  <si>
    <t>Summary results from grid use model ($2018)</t>
  </si>
  <si>
    <t>Scenario</t>
  </si>
  <si>
    <t>Present value consumer welfare change</t>
  </si>
  <si>
    <t>Present value consumer welfare change holding energy prices constant</t>
  </si>
  <si>
    <t>Present value cost of bringing forward transmission investment</t>
  </si>
  <si>
    <t>Present value load customer interconnection charges, baseline</t>
  </si>
  <si>
    <t>Present value load customer interconnection charges, proposal</t>
  </si>
  <si>
    <t>Present value generation customer interconnection charges, baseline</t>
  </si>
  <si>
    <t>Present value generation customer interconnection charges, proposal</t>
  </si>
  <si>
    <t>Change in present value interconnection revenue on load (proposal less baseline)</t>
  </si>
  <si>
    <t>Change in present value interconnection revenue on generation (proposal less baseline)</t>
  </si>
  <si>
    <t>Present value net benefits</t>
  </si>
  <si>
    <t>Present value net benefits holding energy prices constant</t>
  </si>
  <si>
    <t>Welfare Measure</t>
  </si>
  <si>
    <t>Summary results from grid use model ($2018 millions)</t>
  </si>
  <si>
    <t>Of base capex</t>
  </si>
  <si>
    <t>Of inefficient investment (undergrounding)</t>
  </si>
  <si>
    <t>Investment scrutiny</t>
  </si>
  <si>
    <t>Present value change in battery investment costs under proposal</t>
  </si>
  <si>
    <t>Compensating variation welfare measure for mass market consumers, consumer surplus for large industrials. Compensating variation values discounted in the early years (~2022-2032)</t>
  </si>
  <si>
    <t>Battery sensitivities</t>
  </si>
  <si>
    <t>Demand effects of alternative (TPM as in baseline but with a MWh charge instead of RCPD charges)</t>
  </si>
  <si>
    <t>(5) With unallocated major capex limited to WUNI costs, allocated to Huntly, Otahuhu and Marsden by shares of AMD (illustrative only)</t>
  </si>
  <si>
    <t>(5) with a MWh charge instead of the proposal</t>
  </si>
  <si>
    <t xml:space="preserve">(5) With proposal implemented  in 2024 </t>
  </si>
  <si>
    <t>(5) With no AoB charges on existing assets (a.k.a 'future only')</t>
  </si>
  <si>
    <t>(5) With area of benefit charges calculated using 30% LCE shares (economic) and 70% AMD shares (reliability)</t>
  </si>
  <si>
    <t xml:space="preserve">(5) With generation benefit shares of future investment based on analysis of historical benefits </t>
  </si>
  <si>
    <t xml:space="preserve">(5) With Tiwai smelter closes at end of 2030 </t>
  </si>
  <si>
    <t>All major capex, consumer surplus measure, holding energy price constant</t>
  </si>
  <si>
    <t>Demand only, major capex, consumer surplus measure, holding energy price constant</t>
  </si>
  <si>
    <t>All major capex alternative, consumer surplus measure, holding energy price constant</t>
  </si>
  <si>
    <t>Future only</t>
  </si>
  <si>
    <t>Battery sensitivity, low</t>
  </si>
  <si>
    <t>Battery sensitivity, High</t>
  </si>
  <si>
    <t>Battery sensitvity, low</t>
  </si>
  <si>
    <t>NA</t>
  </si>
  <si>
    <t>Major capex + base capex, central</t>
  </si>
  <si>
    <t>Major capex + base capex, lower sensitivity</t>
  </si>
  <si>
    <t>Major capex + base capex, upper sensitivity</t>
  </si>
  <si>
    <t>-50%</t>
  </si>
  <si>
    <t>+50%</t>
  </si>
  <si>
    <t>Proposed guidelines</t>
  </si>
  <si>
    <t>Current guidelines</t>
  </si>
  <si>
    <t>No AoB on existing, consumer surplus measure, holding energy prices constant</t>
  </si>
  <si>
    <t>Demand only, No AoB on existing, consumer surplus measure, holding energy prices constant</t>
  </si>
  <si>
    <t>No AoB on existing, compensating variation measure</t>
  </si>
  <si>
    <t>All major capex alternative, compensating variation measure</t>
  </si>
  <si>
    <t>All major capex, compensating variation measure</t>
  </si>
  <si>
    <t>Increase in revenue from load</t>
  </si>
  <si>
    <t>All</t>
  </si>
  <si>
    <t>(5) excluding forecast unapproved major capex</t>
  </si>
  <si>
    <t>Memo items</t>
  </si>
  <si>
    <t>WUNI - additional effect</t>
  </si>
  <si>
    <t>CS effect as share of Present valued expenditure</t>
  </si>
  <si>
    <t>PV baseline expenditure</t>
  </si>
  <si>
    <t>Efficiency costs of price cap</t>
  </si>
  <si>
    <t>Price cap</t>
  </si>
  <si>
    <t>Central scenario</t>
  </si>
  <si>
    <t>Other scenarios</t>
  </si>
  <si>
    <t>Benefit charge assumptions</t>
  </si>
  <si>
    <t>Scenarios:</t>
  </si>
  <si>
    <t>Parameter sensitivities</t>
  </si>
  <si>
    <t>Parameter sensitivities +/- around central</t>
  </si>
  <si>
    <t>Chart data:</t>
  </si>
  <si>
    <t>70% of benefits from reliability investments</t>
  </si>
  <si>
    <t>Generation share of reliability benefits 37.6%</t>
  </si>
  <si>
    <t>$m PV</t>
  </si>
  <si>
    <t>Central (All_major_capex)</t>
  </si>
  <si>
    <t>With unallocated overheads removed from calculation ($160 million, $2018)</t>
  </si>
  <si>
    <t>Difference</t>
  </si>
  <si>
    <t>Percentage difference</t>
  </si>
  <si>
    <t>Implementation and admin</t>
  </si>
  <si>
    <t xml:space="preserve"> </t>
  </si>
  <si>
    <t xml:space="preserve">Note: Column M is the size of the wealth transfer, which needs to be backed out. Under the proposal, over the modelling period, consumers end up paying higher transmission charges and generators end up paying lower charges (compared to the status quo). So amongst other things, the proposal causes a wealth transfer from consumers to generators. Columns E and F (labelled gross change in consumer welfare) present a value that is a combination of two effects: 1. allocative efficiency gain (ie a gain in overall social welfare / efficiency and also a gain to consumers) 2. loss to consumers due to paying higher transmission charges over the modelling period [wealth transfer from consumers to generators]. This second effect needs to be reversed to identify the change in consumer welfare before wealth transfers. Column M shows the transfer amount. Columns O and P (Net benefit) reflects the allocative efficiency gain. These columns also accounts for more efficient battery investment (L) and nets out grid investment brought forward (G).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</si>
</sst>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0\)"/>
    <numFmt numFmtId="165" formatCode="#,##0.0"/>
    <numFmt numFmtId="166" formatCode="0.0"/>
    <numFmt numFmtId="167" formatCode="_-* #,##0_-;\-* #,##0_-;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sz val="10"/>
      <color rgb="FF222222"/>
      <name val="Arial"/>
      <family val="2"/>
    </font>
    <font>
      <b/>
      <sz val="10"/>
      <color rgb="FF222222"/>
      <name val="Arial"/>
      <family val="2"/>
    </font>
    <font>
      <sz val="9"/>
      <color theme="1"/>
      <name val="Arial"/>
      <family val="2"/>
    </font>
    <font>
      <vertAlign val="superscript"/>
      <sz val="9"/>
      <color theme="1"/>
      <name val="Arial"/>
      <family val="2"/>
    </font>
    <font>
      <sz val="9"/>
      <name val="Arial"/>
      <family val="2"/>
    </font>
    <font>
      <b/>
      <sz val="9"/>
      <name val="Arial"/>
      <family val="2"/>
    </font>
    <font>
      <sz val="9"/>
      <color theme="0" tint="-0.499984740745262"/>
      <name val="Calibri"/>
      <family val="2"/>
      <scheme val="minor"/>
    </font>
    <font>
      <sz val="10"/>
      <color theme="1"/>
      <name val="Calibri"/>
      <family val="2"/>
      <scheme val="minor"/>
    </font>
    <font>
      <b/>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6E6E6"/>
        <bgColor indexed="64"/>
      </patternFill>
    </fill>
    <fill>
      <patternFill patternType="solid">
        <fgColor rgb="FFE5E5E5"/>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18" fillId="0" borderId="0" xfId="0" applyFont="1"/>
    <xf numFmtId="164" fontId="18" fillId="0" borderId="10" xfId="0" applyNumberFormat="1" applyFont="1" applyBorder="1"/>
    <xf numFmtId="0" fontId="18" fillId="0" borderId="10" xfId="0" applyFont="1" applyBorder="1"/>
    <xf numFmtId="164" fontId="18" fillId="0" borderId="0" xfId="0" applyNumberFormat="1" applyFont="1" applyBorder="1"/>
    <xf numFmtId="0" fontId="18" fillId="0" borderId="0" xfId="0" applyFont="1" applyBorder="1"/>
    <xf numFmtId="0" fontId="19" fillId="0" borderId="0" xfId="0" applyFont="1"/>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19" fillId="0" borderId="11" xfId="0" applyFont="1" applyBorder="1" applyAlignment="1">
      <alignment wrapText="1"/>
    </xf>
    <xf numFmtId="0" fontId="19" fillId="0" borderId="12" xfId="0" applyFont="1" applyBorder="1" applyAlignment="1">
      <alignment wrapText="1"/>
    </xf>
    <xf numFmtId="164" fontId="18" fillId="0" borderId="12" xfId="0" applyNumberFormat="1" applyFont="1" applyBorder="1"/>
    <xf numFmtId="0" fontId="18" fillId="0" borderId="12" xfId="0" applyFont="1" applyBorder="1" applyAlignment="1"/>
    <xf numFmtId="0" fontId="18" fillId="0" borderId="12" xfId="0" applyFont="1" applyBorder="1"/>
    <xf numFmtId="165" fontId="18" fillId="0" borderId="12" xfId="0" applyNumberFormat="1" applyFont="1" applyBorder="1"/>
    <xf numFmtId="0" fontId="19" fillId="0" borderId="0" xfId="0" applyFont="1" applyBorder="1" applyAlignment="1">
      <alignment wrapText="1"/>
    </xf>
    <xf numFmtId="0" fontId="18" fillId="0" borderId="0" xfId="0" applyFont="1" applyBorder="1" applyAlignment="1"/>
    <xf numFmtId="165" fontId="18" fillId="0" borderId="0" xfId="0" applyNumberFormat="1" applyFont="1" applyBorder="1"/>
    <xf numFmtId="0" fontId="19" fillId="0" borderId="10" xfId="0" applyFont="1" applyBorder="1" applyAlignment="1">
      <alignment wrapText="1"/>
    </xf>
    <xf numFmtId="0" fontId="18" fillId="0" borderId="10" xfId="0" applyFont="1" applyBorder="1" applyAlignment="1"/>
    <xf numFmtId="165" fontId="18" fillId="0" borderId="10" xfId="0" applyNumberFormat="1" applyFont="1" applyBorder="1"/>
    <xf numFmtId="0" fontId="18" fillId="0" borderId="0" xfId="0" quotePrefix="1" applyFont="1" applyBorder="1" applyAlignment="1"/>
    <xf numFmtId="0" fontId="0" fillId="0" borderId="11" xfId="0" applyBorder="1" applyAlignment="1">
      <alignment wrapText="1"/>
    </xf>
    <xf numFmtId="0" fontId="16" fillId="0" borderId="11" xfId="0" applyFont="1" applyBorder="1" applyAlignment="1">
      <alignment wrapText="1"/>
    </xf>
    <xf numFmtId="3" fontId="18" fillId="0" borderId="0" xfId="0" applyNumberFormat="1" applyFont="1"/>
    <xf numFmtId="0" fontId="20" fillId="34" borderId="13" xfId="0" applyFont="1" applyFill="1" applyBorder="1" applyAlignment="1">
      <alignment vertical="center" wrapText="1"/>
    </xf>
    <xf numFmtId="0" fontId="20" fillId="34" borderId="14" xfId="0" applyFont="1" applyFill="1" applyBorder="1" applyAlignment="1">
      <alignment vertical="center" wrapText="1"/>
    </xf>
    <xf numFmtId="0" fontId="20" fillId="33" borderId="15" xfId="0" applyFont="1" applyFill="1" applyBorder="1" applyAlignment="1">
      <alignment vertical="center" wrapText="1"/>
    </xf>
    <xf numFmtId="0" fontId="20" fillId="33" borderId="16" xfId="0" applyFont="1" applyFill="1" applyBorder="1" applyAlignment="1">
      <alignment vertical="center" wrapText="1"/>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20" fillId="35" borderId="15" xfId="0" applyFont="1" applyFill="1" applyBorder="1" applyAlignment="1">
      <alignment vertical="center" wrapText="1"/>
    </xf>
    <xf numFmtId="0" fontId="20" fillId="35" borderId="16" xfId="0" applyFont="1" applyFill="1" applyBorder="1" applyAlignment="1">
      <alignment vertical="center" wrapText="1"/>
    </xf>
    <xf numFmtId="1" fontId="20" fillId="33" borderId="15" xfId="0" applyNumberFormat="1" applyFont="1" applyFill="1" applyBorder="1" applyAlignment="1">
      <alignment vertical="center" wrapText="1"/>
    </xf>
    <xf numFmtId="3" fontId="20" fillId="33" borderId="15" xfId="0" applyNumberFormat="1" applyFont="1" applyFill="1" applyBorder="1" applyAlignment="1">
      <alignment vertical="center" wrapText="1"/>
    </xf>
    <xf numFmtId="3" fontId="20" fillId="33" borderId="16" xfId="0" applyNumberFormat="1" applyFont="1" applyFill="1" applyBorder="1" applyAlignment="1">
      <alignment vertical="center" wrapText="1"/>
    </xf>
    <xf numFmtId="3" fontId="21" fillId="33" borderId="15" xfId="0" applyNumberFormat="1" applyFont="1" applyFill="1" applyBorder="1" applyAlignment="1">
      <alignment vertical="center" wrapText="1"/>
    </xf>
    <xf numFmtId="166" fontId="20" fillId="33" borderId="16" xfId="0" applyNumberFormat="1" applyFont="1" applyFill="1" applyBorder="1" applyAlignment="1">
      <alignment vertical="center" wrapText="1"/>
    </xf>
    <xf numFmtId="1" fontId="20" fillId="33" borderId="16" xfId="0" applyNumberFormat="1" applyFont="1" applyFill="1" applyBorder="1" applyAlignment="1">
      <alignment vertical="center" wrapText="1"/>
    </xf>
    <xf numFmtId="0" fontId="19" fillId="0" borderId="10" xfId="0" applyFont="1" applyBorder="1"/>
    <xf numFmtId="0" fontId="19" fillId="0" borderId="11" xfId="0" applyFont="1" applyBorder="1"/>
    <xf numFmtId="3" fontId="18" fillId="0" borderId="11" xfId="0" applyNumberFormat="1" applyFont="1" applyBorder="1"/>
    <xf numFmtId="3" fontId="19" fillId="0" borderId="11" xfId="0" applyNumberFormat="1" applyFont="1" applyFill="1" applyBorder="1"/>
    <xf numFmtId="167" fontId="20" fillId="33" borderId="16" xfId="42" applyNumberFormat="1" applyFont="1" applyFill="1" applyBorder="1" applyAlignment="1">
      <alignment vertical="center" wrapText="1"/>
    </xf>
    <xf numFmtId="0" fontId="20" fillId="33" borderId="16" xfId="0" quotePrefix="1" applyFont="1" applyFill="1" applyBorder="1" applyAlignment="1">
      <alignment vertical="center" wrapText="1"/>
    </xf>
    <xf numFmtId="3" fontId="20" fillId="33" borderId="16" xfId="0" quotePrefix="1" applyNumberFormat="1" applyFont="1" applyFill="1" applyBorder="1" applyAlignment="1">
      <alignment vertical="center" wrapText="1"/>
    </xf>
    <xf numFmtId="0" fontId="20" fillId="33" borderId="16" xfId="0" quotePrefix="1" applyFont="1" applyFill="1" applyBorder="1" applyAlignment="1">
      <alignment horizontal="center" vertical="center" wrapText="1"/>
    </xf>
    <xf numFmtId="0" fontId="23" fillId="0" borderId="0" xfId="0" applyFont="1" applyAlignment="1">
      <alignment horizontal="left" vertical="center" indent="4"/>
    </xf>
    <xf numFmtId="6" fontId="21" fillId="33" borderId="15" xfId="0" applyNumberFormat="1" applyFont="1" applyFill="1" applyBorder="1" applyAlignment="1">
      <alignment vertical="center" wrapText="1"/>
    </xf>
    <xf numFmtId="0" fontId="18" fillId="0" borderId="0" xfId="0" applyFont="1" applyFill="1" applyAlignment="1"/>
    <xf numFmtId="0" fontId="22" fillId="34" borderId="17" xfId="0" applyFont="1" applyFill="1" applyBorder="1" applyAlignment="1">
      <alignment vertical="center" wrapText="1"/>
    </xf>
    <xf numFmtId="0" fontId="22" fillId="34" borderId="13"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24" fillId="0" borderId="15" xfId="0" applyFont="1" applyBorder="1" applyAlignment="1">
      <alignment vertical="center" wrapText="1"/>
    </xf>
    <xf numFmtId="6" fontId="24" fillId="0" borderId="16" xfId="0" applyNumberFormat="1" applyFont="1" applyBorder="1" applyAlignment="1">
      <alignment vertical="center" wrapText="1"/>
    </xf>
    <xf numFmtId="0" fontId="25" fillId="0" borderId="15" xfId="0" applyFont="1" applyBorder="1" applyAlignment="1">
      <alignment vertical="center" wrapText="1"/>
    </xf>
    <xf numFmtId="6" fontId="25" fillId="0" borderId="16" xfId="0" applyNumberFormat="1" applyFont="1" applyBorder="1" applyAlignment="1">
      <alignment vertical="center" wrapText="1"/>
    </xf>
    <xf numFmtId="0" fontId="22" fillId="34" borderId="13" xfId="0" applyFont="1" applyFill="1" applyBorder="1" applyAlignment="1">
      <alignment vertical="center" wrapText="1"/>
    </xf>
    <xf numFmtId="0" fontId="24" fillId="0" borderId="16" xfId="0" applyFont="1" applyBorder="1" applyAlignment="1">
      <alignment vertical="center" wrapText="1"/>
    </xf>
    <xf numFmtId="2" fontId="20" fillId="33" borderId="16" xfId="0" applyNumberFormat="1" applyFont="1" applyFill="1" applyBorder="1" applyAlignment="1">
      <alignment vertical="center" wrapText="1"/>
    </xf>
    <xf numFmtId="2" fontId="20" fillId="33" borderId="15" xfId="0" applyNumberFormat="1" applyFont="1" applyFill="1" applyBorder="1" applyAlignment="1">
      <alignment vertical="center" wrapText="1"/>
    </xf>
    <xf numFmtId="165" fontId="0" fillId="0" borderId="0" xfId="0" applyNumberFormat="1"/>
    <xf numFmtId="166" fontId="18" fillId="0" borderId="0" xfId="0" applyNumberFormat="1" applyFont="1"/>
    <xf numFmtId="167" fontId="18" fillId="0" borderId="0" xfId="42" applyNumberFormat="1" applyFont="1"/>
    <xf numFmtId="3" fontId="18" fillId="0" borderId="0" xfId="42" applyNumberFormat="1" applyFont="1"/>
    <xf numFmtId="1" fontId="18" fillId="0" borderId="0" xfId="0" applyNumberFormat="1" applyFont="1"/>
    <xf numFmtId="2" fontId="18" fillId="0" borderId="0" xfId="0" applyNumberFormat="1" applyFont="1"/>
    <xf numFmtId="6" fontId="18" fillId="0" borderId="0" xfId="0" applyNumberFormat="1" applyFont="1"/>
    <xf numFmtId="0" fontId="26" fillId="0" borderId="0" xfId="0" applyFont="1"/>
    <xf numFmtId="0" fontId="18" fillId="36" borderId="0" xfId="0" applyFont="1" applyFill="1"/>
    <xf numFmtId="3" fontId="18" fillId="36" borderId="0" xfId="0" applyNumberFormat="1" applyFont="1" applyFill="1"/>
    <xf numFmtId="167" fontId="18" fillId="36" borderId="0" xfId="42" applyNumberFormat="1" applyFont="1" applyFill="1"/>
    <xf numFmtId="3" fontId="18" fillId="0" borderId="10" xfId="0" applyNumberFormat="1" applyFont="1" applyBorder="1"/>
    <xf numFmtId="167" fontId="18" fillId="0" borderId="10" xfId="42" applyNumberFormat="1" applyFont="1" applyBorder="1"/>
    <xf numFmtId="3" fontId="18" fillId="36" borderId="0" xfId="42" applyNumberFormat="1" applyFont="1" applyFill="1"/>
    <xf numFmtId="3" fontId="18" fillId="0" borderId="10" xfId="42" applyNumberFormat="1" applyFont="1" applyBorder="1"/>
    <xf numFmtId="8" fontId="18" fillId="0" borderId="0" xfId="0" applyNumberFormat="1" applyFont="1"/>
    <xf numFmtId="165" fontId="20" fillId="33" borderId="15" xfId="0" applyNumberFormat="1" applyFont="1" applyFill="1" applyBorder="1" applyAlignment="1">
      <alignment vertical="center" wrapText="1"/>
    </xf>
    <xf numFmtId="165" fontId="20" fillId="33" borderId="16" xfId="0" applyNumberFormat="1" applyFont="1" applyFill="1" applyBorder="1" applyAlignment="1">
      <alignment vertical="center" wrapText="1"/>
    </xf>
    <xf numFmtId="167" fontId="19" fillId="0" borderId="11" xfId="0" applyNumberFormat="1" applyFont="1" applyBorder="1"/>
    <xf numFmtId="0" fontId="18" fillId="0" borderId="11" xfId="0" applyFont="1" applyBorder="1"/>
    <xf numFmtId="0" fontId="18" fillId="0" borderId="10" xfId="0" quotePrefix="1" applyFont="1" applyBorder="1"/>
    <xf numFmtId="3" fontId="18" fillId="0" borderId="0" xfId="0" applyNumberFormat="1" applyFont="1" applyBorder="1"/>
    <xf numFmtId="165" fontId="18" fillId="0" borderId="0" xfId="0" applyNumberFormat="1" applyFont="1"/>
    <xf numFmtId="8" fontId="21" fillId="33" borderId="15" xfId="0" applyNumberFormat="1" applyFont="1" applyFill="1" applyBorder="1" applyAlignment="1">
      <alignment vertical="center" wrapText="1"/>
    </xf>
    <xf numFmtId="3" fontId="27" fillId="0" borderId="0" xfId="0" applyNumberFormat="1" applyFont="1"/>
    <xf numFmtId="3" fontId="28" fillId="0" borderId="0" xfId="0" applyNumberFormat="1" applyFont="1"/>
    <xf numFmtId="9" fontId="18" fillId="0" borderId="0" xfId="43" applyFont="1"/>
    <xf numFmtId="0" fontId="20" fillId="33" borderId="16" xfId="0" applyFont="1" applyFill="1" applyBorder="1" applyAlignment="1">
      <alignment horizontal="right" vertical="center" wrapText="1"/>
    </xf>
    <xf numFmtId="0" fontId="21" fillId="33" borderId="16" xfId="0" applyFont="1" applyFill="1" applyBorder="1" applyAlignment="1">
      <alignment horizontal="right" vertical="center" wrapText="1"/>
    </xf>
    <xf numFmtId="0" fontId="20" fillId="33" borderId="16" xfId="0" quotePrefix="1" applyFont="1" applyFill="1" applyBorder="1" applyAlignment="1">
      <alignment horizontal="right" vertical="center" wrapText="1"/>
    </xf>
    <xf numFmtId="2" fontId="20" fillId="33" borderId="16" xfId="0" quotePrefix="1" applyNumberFormat="1" applyFont="1" applyFill="1" applyBorder="1" applyAlignment="1">
      <alignment vertical="center" wrapText="1"/>
    </xf>
    <xf numFmtId="0" fontId="18" fillId="0" borderId="19" xfId="0" applyFont="1" applyBorder="1"/>
    <xf numFmtId="6" fontId="18" fillId="0" borderId="20" xfId="0" applyNumberFormat="1" applyFont="1" applyBorder="1"/>
    <xf numFmtId="6" fontId="19" fillId="0" borderId="11" xfId="0" applyNumberFormat="1" applyFont="1" applyBorder="1"/>
    <xf numFmtId="6" fontId="18" fillId="0" borderId="10" xfId="0" applyNumberFormat="1" applyFont="1" applyBorder="1"/>
    <xf numFmtId="0" fontId="18" fillId="0" borderId="20" xfId="0" applyFont="1" applyBorder="1"/>
    <xf numFmtId="0" fontId="19" fillId="0" borderId="0" xfId="0" quotePrefix="1" applyFont="1"/>
    <xf numFmtId="0" fontId="18" fillId="0" borderId="12" xfId="0" quotePrefix="1" applyFont="1" applyBorder="1"/>
    <xf numFmtId="3" fontId="18" fillId="0" borderId="12" xfId="0" applyNumberFormat="1" applyFont="1" applyBorder="1"/>
    <xf numFmtId="1" fontId="18" fillId="0" borderId="10" xfId="0" applyNumberFormat="1" applyFont="1" applyBorder="1"/>
    <xf numFmtId="2" fontId="18" fillId="0" borderId="10" xfId="0" applyNumberFormat="1" applyFont="1" applyBorder="1"/>
    <xf numFmtId="166" fontId="18" fillId="0" borderId="10" xfId="0" applyNumberFormat="1" applyFont="1" applyBorder="1"/>
    <xf numFmtId="6" fontId="18" fillId="0" borderId="0" xfId="0" applyNumberFormat="1" applyFont="1" applyBorder="1"/>
    <xf numFmtId="8" fontId="18" fillId="0" borderId="10" xfId="0" applyNumberFormat="1" applyFont="1" applyBorder="1"/>
    <xf numFmtId="6" fontId="18" fillId="0" borderId="12" xfId="0" applyNumberFormat="1" applyFont="1" applyBorder="1"/>
    <xf numFmtId="0" fontId="18" fillId="0" borderId="0" xfId="0" quotePrefix="1" applyFont="1" applyBorder="1"/>
    <xf numFmtId="0" fontId="0" fillId="0" borderId="21" xfId="0" applyBorder="1"/>
    <xf numFmtId="0" fontId="0" fillId="0" borderId="21" xfId="0" applyBorder="1" applyAlignment="1">
      <alignment wrapText="1"/>
    </xf>
    <xf numFmtId="2" fontId="0" fillId="0" borderId="21" xfId="43" applyNumberFormat="1" applyFont="1" applyBorder="1"/>
    <xf numFmtId="9" fontId="0" fillId="0" borderId="21" xfId="43" applyFont="1" applyBorder="1"/>
    <xf numFmtId="6" fontId="24" fillId="0" borderId="17" xfId="0" applyNumberFormat="1" applyFont="1" applyBorder="1" applyAlignment="1">
      <alignment horizontal="center" vertical="center" wrapText="1"/>
    </xf>
    <xf numFmtId="6" fontId="24" fillId="0" borderId="18" xfId="0" applyNumberFormat="1" applyFont="1" applyBorder="1" applyAlignment="1">
      <alignment horizontal="center" vertical="center" wrapText="1"/>
    </xf>
    <xf numFmtId="6" fontId="24" fillId="0" borderId="15" xfId="0" applyNumberFormat="1" applyFont="1" applyBorder="1" applyAlignment="1">
      <alignment horizontal="center" vertical="center" wrapText="1"/>
    </xf>
    <xf numFmtId="0" fontId="0" fillId="0" borderId="0" xfId="0" applyAlignment="1">
      <alignment horizontal="left" vertical="top" wrapText="1" readingOrder="1"/>
    </xf>
    <xf numFmtId="0" fontId="0" fillId="0" borderId="0" xfId="0" applyAlignment="1">
      <alignment readingOrder="1"/>
    </xf>
    <xf numFmtId="1" fontId="0" fillId="0" borderId="0" xfId="0" applyNumberFormat="1"/>
    <xf numFmtId="3" fontId="0" fillId="0" borderId="0" xfId="0" applyNumberFormat="1"/>
    <xf numFmtId="8"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97850861907237"/>
          <c:y val="4.269771302857904E-2"/>
          <c:w val="0.60924497068827388"/>
          <c:h val="0.78901216368917126"/>
        </c:manualLayout>
      </c:layout>
      <c:barChart>
        <c:barDir val="bar"/>
        <c:grouping val="clustered"/>
        <c:varyColors val="0"/>
        <c:ser>
          <c:idx val="0"/>
          <c:order val="0"/>
          <c:spPr>
            <a:solidFill>
              <a:schemeClr val="accent1"/>
            </a:solidFill>
            <a:ln>
              <a:noFill/>
            </a:ln>
            <a:effectLst/>
          </c:spPr>
          <c:invertIfNegative val="0"/>
          <c:cat>
            <c:strRef>
              <c:f>'Summary sensitivities'!$B$35:$B$42</c:f>
              <c:strCache>
                <c:ptCount val="8"/>
                <c:pt idx="0">
                  <c:v>Generation investment</c:v>
                </c:pt>
                <c:pt idx="1">
                  <c:v>Aggregate demand elasticity</c:v>
                </c:pt>
                <c:pt idx="2">
                  <c:v>Battery cost</c:v>
                </c:pt>
                <c:pt idx="3">
                  <c:v>Battery investment response</c:v>
                </c:pt>
                <c:pt idx="4">
                  <c:v>70% of benefits from reliability investments</c:v>
                </c:pt>
                <c:pt idx="5">
                  <c:v>Generation share of reliability benefits 37.6%</c:v>
                </c:pt>
                <c:pt idx="6">
                  <c:v>Tiwai smelter closes in 2030</c:v>
                </c:pt>
                <c:pt idx="7">
                  <c:v>TPM changed in 2024</c:v>
                </c:pt>
              </c:strCache>
            </c:strRef>
          </c:cat>
          <c:val>
            <c:numRef>
              <c:f>'Summary sensitivities'!$C$35:$C$42</c:f>
              <c:numCache>
                <c:formatCode>#,##0</c:formatCode>
                <c:ptCount val="8"/>
                <c:pt idx="0">
                  <c:v>5995.4242355976148</c:v>
                </c:pt>
                <c:pt idx="1">
                  <c:v>4591.3032931262223</c:v>
                </c:pt>
                <c:pt idx="2">
                  <c:v>3082.2812793177527</c:v>
                </c:pt>
                <c:pt idx="3">
                  <c:v>3380.1438304246644</c:v>
                </c:pt>
                <c:pt idx="4" formatCode="&quot;$&quot;#,##0_);[Red]\(&quot;$&quot;#,##0\)">
                  <c:v>2711.2400748149339</c:v>
                </c:pt>
                <c:pt idx="5" formatCode="&quot;$&quot;#,##0_);[Red]\(&quot;$&quot;#,##0\)">
                  <c:v>2711.2400748149339</c:v>
                </c:pt>
                <c:pt idx="6" formatCode="&quot;$&quot;#,##0_);[Red]\(&quot;$&quot;#,##0\)">
                  <c:v>2711.2400748149339</c:v>
                </c:pt>
                <c:pt idx="7" formatCode="&quot;$&quot;#,##0_);[Red]\(&quot;$&quot;#,##0\)">
                  <c:v>2711.2400748149339</c:v>
                </c:pt>
              </c:numCache>
            </c:numRef>
          </c:val>
          <c:extLst xmlns:c16r2="http://schemas.microsoft.com/office/drawing/2015/06/chart">
            <c:ext xmlns:c16="http://schemas.microsoft.com/office/drawing/2014/chart" uri="{C3380CC4-5D6E-409C-BE32-E72D297353CC}">
              <c16:uniqueId val="{00000000-B832-4C4B-925D-76DB5C335CF2}"/>
            </c:ext>
          </c:extLst>
        </c:ser>
        <c:ser>
          <c:idx val="1"/>
          <c:order val="1"/>
          <c:spPr>
            <a:solidFill>
              <a:schemeClr val="accent1"/>
            </a:solidFill>
            <a:ln>
              <a:noFill/>
            </a:ln>
            <a:effectLst/>
          </c:spPr>
          <c:invertIfNegative val="0"/>
          <c:cat>
            <c:strRef>
              <c:f>'Summary sensitivities'!$B$35:$B$42</c:f>
              <c:strCache>
                <c:ptCount val="8"/>
                <c:pt idx="0">
                  <c:v>Generation investment</c:v>
                </c:pt>
                <c:pt idx="1">
                  <c:v>Aggregate demand elasticity</c:v>
                </c:pt>
                <c:pt idx="2">
                  <c:v>Battery cost</c:v>
                </c:pt>
                <c:pt idx="3">
                  <c:v>Battery investment response</c:v>
                </c:pt>
                <c:pt idx="4">
                  <c:v>70% of benefits from reliability investments</c:v>
                </c:pt>
                <c:pt idx="5">
                  <c:v>Generation share of reliability benefits 37.6%</c:v>
                </c:pt>
                <c:pt idx="6">
                  <c:v>Tiwai smelter closes in 2030</c:v>
                </c:pt>
                <c:pt idx="7">
                  <c:v>TPM changed in 2024</c:v>
                </c:pt>
              </c:strCache>
            </c:strRef>
          </c:cat>
          <c:val>
            <c:numRef>
              <c:f>'Summary sensitivities'!$D$35:$D$42</c:f>
              <c:numCache>
                <c:formatCode>#,##0</c:formatCode>
                <c:ptCount val="8"/>
                <c:pt idx="0">
                  <c:v>304.56101117543983</c:v>
                </c:pt>
                <c:pt idx="1">
                  <c:v>2602.5756597067402</c:v>
                </c:pt>
                <c:pt idx="2">
                  <c:v>1303.308816911315</c:v>
                </c:pt>
                <c:pt idx="3">
                  <c:v>2677.7084670114714</c:v>
                </c:pt>
                <c:pt idx="4">
                  <c:v>2711.197180192732</c:v>
                </c:pt>
                <c:pt idx="5">
                  <c:v>2985.8693358649698</c:v>
                </c:pt>
                <c:pt idx="6">
                  <c:v>1785.5079993184675</c:v>
                </c:pt>
                <c:pt idx="7">
                  <c:v>2735.1974049478049</c:v>
                </c:pt>
              </c:numCache>
            </c:numRef>
          </c:val>
          <c:extLst xmlns:c16r2="http://schemas.microsoft.com/office/drawing/2015/06/chart">
            <c:ext xmlns:c16="http://schemas.microsoft.com/office/drawing/2014/chart" uri="{C3380CC4-5D6E-409C-BE32-E72D297353CC}">
              <c16:uniqueId val="{00000001-B832-4C4B-925D-76DB5C335CF2}"/>
            </c:ext>
          </c:extLst>
        </c:ser>
        <c:dLbls>
          <c:showLegendKey val="0"/>
          <c:showVal val="0"/>
          <c:showCatName val="0"/>
          <c:showSerName val="0"/>
          <c:showPercent val="0"/>
          <c:showBubbleSize val="0"/>
        </c:dLbls>
        <c:gapWidth val="182"/>
        <c:overlap val="100"/>
        <c:axId val="304671360"/>
        <c:axId val="304685440"/>
      </c:barChart>
      <c:catAx>
        <c:axId val="3046713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685440"/>
        <c:crossesAt val="2711"/>
        <c:auto val="1"/>
        <c:lblAlgn val="ctr"/>
        <c:lblOffset val="100"/>
        <c:noMultiLvlLbl val="0"/>
      </c:catAx>
      <c:valAx>
        <c:axId val="304685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Range</a:t>
                </a:r>
                <a:r>
                  <a:rPr lang="en-NZ" baseline="0"/>
                  <a:t> of net benefits , relative to central scenario ($2018 millions, present value)</a:t>
                </a:r>
                <a:endParaRPr lang="en-NZ"/>
              </a:p>
            </c:rich>
          </c:tx>
          <c:layout>
            <c:manualLayout>
              <c:xMode val="edge"/>
              <c:yMode val="edge"/>
              <c:x val="0.26214285204054205"/>
              <c:y val="0.90067543788662663"/>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671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1182051</xdr:colOff>
      <xdr:row>43</xdr:row>
      <xdr:rowOff>77151</xdr:rowOff>
    </xdr:from>
    <xdr:to>
      <xdr:col>6</xdr:col>
      <xdr:colOff>1257300</xdr:colOff>
      <xdr:row>67</xdr:row>
      <xdr:rowOff>142874</xdr:rowOff>
    </xdr:to>
    <xdr:graphicFrame macro="">
      <xdr:nvGraphicFramePr>
        <xdr:cNvPr id="4" name="Chart 3">
          <a:extLst>
            <a:ext uri="{FF2B5EF4-FFF2-40B4-BE49-F238E27FC236}">
              <a16:creationId xmlns:a16="http://schemas.microsoft.com/office/drawing/2014/main" xmlns="" id="{9C5EC066-6C0A-4C44-9415-6AC15F71C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Price%20cap/Efficiency%20effect%20of%20price%20c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Investment%20efficiencies/Investment%20efficiencies%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net_benefits_all.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Costs/Net%20cos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All_major_capex_DG_sensitivities/total_d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Demand%20sensitivity%20table.csv"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Gen%20sensitivity%20table.csv"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DG%20sensitivity%20table.csv"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Gen%20ex%20DG%20sensitivity%20table.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benefit"/>
      <sheetName val="PIVOT"/>
      <sheetName val="Reallocated revenue"/>
      <sheetName val="Welfare measures"/>
      <sheetName val="Table of effects by node"/>
    </sheetNames>
    <sheetDataSet>
      <sheetData sheetId="0">
        <row r="13">
          <cell r="C13">
            <v>-1.0591833825633898</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fficient investment"/>
      <sheetName val="Durability"/>
      <sheetName val="Scrutiny - Major capex"/>
      <sheetName val="Scrutiny - Base capex"/>
      <sheetName val="Scrutiny - Inefficient investmt"/>
      <sheetName val="Inputs-&gt;"/>
      <sheetName val="Forecast peak demand"/>
      <sheetName val="RCP3 forecast investment"/>
      <sheetName val="Generation capacity"/>
    </sheetNames>
    <sheetDataSet>
      <sheetData sheetId="0">
        <row r="9">
          <cell r="N9">
            <v>8929192</v>
          </cell>
          <cell r="O9">
            <v>28931758</v>
          </cell>
          <cell r="P9">
            <v>42417775</v>
          </cell>
          <cell r="Q9">
            <v>110692278</v>
          </cell>
          <cell r="S9">
            <v>9834187.9977137093</v>
          </cell>
          <cell r="T9">
            <v>24461143.821109101</v>
          </cell>
          <cell r="U9">
            <v>26221931.349495001</v>
          </cell>
          <cell r="V9">
            <v>48293041.066872902</v>
          </cell>
        </row>
        <row r="10">
          <cell r="N10">
            <v>9005357</v>
          </cell>
          <cell r="O10">
            <v>29181307</v>
          </cell>
          <cell r="P10">
            <v>42930786</v>
          </cell>
          <cell r="Q10">
            <v>112438214</v>
          </cell>
        </row>
        <row r="11">
          <cell r="N11">
            <v>732197</v>
          </cell>
          <cell r="O11">
            <v>9050955</v>
          </cell>
          <cell r="P11">
            <v>11093954</v>
          </cell>
          <cell r="Q11">
            <v>28203576</v>
          </cell>
        </row>
        <row r="12">
          <cell r="N12">
            <v>2316863</v>
          </cell>
          <cell r="O12">
            <v>15555839</v>
          </cell>
          <cell r="P12">
            <v>31836832</v>
          </cell>
          <cell r="Q12">
            <v>103750274</v>
          </cell>
        </row>
        <row r="13">
          <cell r="N13">
            <v>12599</v>
          </cell>
          <cell r="O13">
            <v>177146</v>
          </cell>
          <cell r="P13">
            <v>513011</v>
          </cell>
          <cell r="Q13">
            <v>1876497</v>
          </cell>
        </row>
        <row r="14">
          <cell r="N14">
            <v>2277536</v>
          </cell>
          <cell r="O14">
            <v>15310792</v>
          </cell>
          <cell r="P14">
            <v>31323820</v>
          </cell>
          <cell r="Q14">
            <v>101708217</v>
          </cell>
        </row>
      </sheetData>
      <sheetData sheetId="1" refreshError="1"/>
      <sheetData sheetId="2" refreshError="1"/>
      <sheetData sheetId="3">
        <row r="6">
          <cell r="C6">
            <v>45571721.459622741</v>
          </cell>
        </row>
        <row r="55">
          <cell r="C55">
            <v>68357582.189434111</v>
          </cell>
        </row>
        <row r="105">
          <cell r="C105">
            <v>22785860.72981137</v>
          </cell>
        </row>
      </sheetData>
      <sheetData sheetId="4">
        <row r="12">
          <cell r="C12">
            <v>31354459.316056047</v>
          </cell>
        </row>
        <row r="66">
          <cell r="C66">
            <v>56430076.45637276</v>
          </cell>
        </row>
        <row r="121">
          <cell r="C121">
            <v>6278842.1757393219</v>
          </cell>
        </row>
      </sheetData>
      <sheetData sheetId="5">
        <row r="13">
          <cell r="C13">
            <v>206413901.47755048</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_benefits_all"/>
    </sheetNames>
    <sheetDataSet>
      <sheetData sheetId="0">
        <row r="2">
          <cell r="B2" t="str">
            <v>All</v>
          </cell>
          <cell r="C2">
            <v>5353093177.4917803</v>
          </cell>
          <cell r="D2">
            <v>1494589188.92222</v>
          </cell>
          <cell r="E2">
            <v>344150091.543612</v>
          </cell>
          <cell r="F2">
            <v>18729431757.168701</v>
          </cell>
          <cell r="G2">
            <v>18874340847.511101</v>
          </cell>
          <cell r="H2">
            <v>3492837386.2529202</v>
          </cell>
          <cell r="I2">
            <v>3347928297.5853</v>
          </cell>
          <cell r="J2">
            <v>-149671892.42619801</v>
          </cell>
          <cell r="K2">
            <v>144909090.342399</v>
          </cell>
          <cell r="L2">
            <v>-144909088.66761601</v>
          </cell>
          <cell r="M2">
            <v>5303524068.7167702</v>
          </cell>
          <cell r="N2">
            <v>1445020080.1472001</v>
          </cell>
          <cell r="O2" t="str">
            <v>CV</v>
          </cell>
        </row>
        <row r="3">
          <cell r="B3" t="str">
            <v>All_Major_Capex_30_70</v>
          </cell>
          <cell r="C3">
            <v>5219308069.7672701</v>
          </cell>
          <cell r="D3">
            <v>1652370091.61185</v>
          </cell>
          <cell r="E3">
            <v>419153522.30181497</v>
          </cell>
          <cell r="F3">
            <v>19312306574.190102</v>
          </cell>
          <cell r="G3">
            <v>19774096017.2631</v>
          </cell>
          <cell r="H3">
            <v>3716070142.1845498</v>
          </cell>
          <cell r="I3">
            <v>3254280700.6408701</v>
          </cell>
          <cell r="J3">
            <v>-201525178.96169099</v>
          </cell>
          <cell r="K3">
            <v>461789443.07299399</v>
          </cell>
          <cell r="L3">
            <v>-461789441.54368103</v>
          </cell>
          <cell r="M3">
            <v>5463469169.5001402</v>
          </cell>
          <cell r="N3">
            <v>1896531191.3447199</v>
          </cell>
          <cell r="O3" t="str">
            <v>CV</v>
          </cell>
        </row>
        <row r="4">
          <cell r="B4" t="str">
            <v>All_major_capex</v>
          </cell>
          <cell r="C4">
            <v>5309413713.10818</v>
          </cell>
          <cell r="D4">
            <v>1735497812.05616</v>
          </cell>
          <cell r="E4">
            <v>420695896.037898</v>
          </cell>
          <cell r="F4">
            <v>19312306574.190102</v>
          </cell>
          <cell r="G4">
            <v>19680546157.073399</v>
          </cell>
          <cell r="H4">
            <v>3716070142.1845498</v>
          </cell>
          <cell r="I4">
            <v>3347830560.8305602</v>
          </cell>
          <cell r="J4">
            <v>-201521888.36770499</v>
          </cell>
          <cell r="K4">
            <v>368239582.88329297</v>
          </cell>
          <cell r="L4">
            <v>-368239581.35398901</v>
          </cell>
          <cell r="M4">
            <v>5458479288.3212795</v>
          </cell>
          <cell r="N4">
            <v>1884563387.2692599</v>
          </cell>
          <cell r="O4" t="str">
            <v>CV</v>
          </cell>
        </row>
        <row r="5">
          <cell r="B5" t="str">
            <v>All_major_capex_2024</v>
          </cell>
          <cell r="C5">
            <v>4986697783.9142199</v>
          </cell>
          <cell r="D5">
            <v>1519631405.91888</v>
          </cell>
          <cell r="E5">
            <v>422169544.25417697</v>
          </cell>
          <cell r="F5">
            <v>19312306574.190102</v>
          </cell>
          <cell r="G5">
            <v>19607362560.787201</v>
          </cell>
          <cell r="H5">
            <v>3716070142.1845498</v>
          </cell>
          <cell r="I5">
            <v>3421014156.9935398</v>
          </cell>
          <cell r="J5">
            <v>-201534806.51679999</v>
          </cell>
          <cell r="K5">
            <v>295055986.59709501</v>
          </cell>
          <cell r="L5">
            <v>-295055985.19101501</v>
          </cell>
          <cell r="M5">
            <v>5061119032.7739401</v>
          </cell>
          <cell r="N5">
            <v>1594052654.7786</v>
          </cell>
          <cell r="O5" t="str">
            <v>CV</v>
          </cell>
        </row>
        <row r="6">
          <cell r="B6" t="str">
            <v>All_major_capex_alternative</v>
          </cell>
          <cell r="C6">
            <v>4197098248.8070598</v>
          </cell>
          <cell r="D6">
            <v>1759096179.95943</v>
          </cell>
          <cell r="E6">
            <v>341912527.461496</v>
          </cell>
          <cell r="F6">
            <v>19312306574.190102</v>
          </cell>
          <cell r="G6">
            <v>19312306574.190102</v>
          </cell>
          <cell r="H6">
            <v>3716070142.1845498</v>
          </cell>
          <cell r="I6">
            <v>3716070142.1845498</v>
          </cell>
          <cell r="J6">
            <v>-222436517.734126</v>
          </cell>
          <cell r="K6">
            <v>-3.814697265625E-6</v>
          </cell>
          <cell r="L6">
            <v>0</v>
          </cell>
          <cell r="M6">
            <v>4077622239.07969</v>
          </cell>
          <cell r="N6">
            <v>1639620170.2320499</v>
          </cell>
          <cell r="O6" t="str">
            <v>CV</v>
          </cell>
        </row>
        <row r="7">
          <cell r="B7" t="str">
            <v>All_major_capex_gen_benefits</v>
          </cell>
          <cell r="C7">
            <v>6302231888.1752396</v>
          </cell>
          <cell r="D7">
            <v>2232618501.3342199</v>
          </cell>
          <cell r="E7">
            <v>446811423.98275799</v>
          </cell>
          <cell r="F7">
            <v>19312306574.190102</v>
          </cell>
          <cell r="G7">
            <v>19047143635.7281</v>
          </cell>
          <cell r="H7">
            <v>3716070142.1845498</v>
          </cell>
          <cell r="I7">
            <v>3981233082.17588</v>
          </cell>
          <cell r="J7">
            <v>-200569512.18087599</v>
          </cell>
          <cell r="K7">
            <v>-265162938.46200901</v>
          </cell>
          <cell r="L7">
            <v>265162939.991321</v>
          </cell>
          <cell r="M7">
            <v>5790827037.9113503</v>
          </cell>
          <cell r="N7">
            <v>1721213651.0703299</v>
          </cell>
          <cell r="O7" t="str">
            <v>CV</v>
          </cell>
        </row>
        <row r="8">
          <cell r="B8" t="str">
            <v>All_major_capex_tiwai_off</v>
          </cell>
          <cell r="C8">
            <v>3493754591.2530599</v>
          </cell>
          <cell r="D8">
            <v>2051674245.04685</v>
          </cell>
          <cell r="E8">
            <v>90921778.239960402</v>
          </cell>
          <cell r="F8">
            <v>19312306574.190102</v>
          </cell>
          <cell r="G8">
            <v>19683706291.797001</v>
          </cell>
          <cell r="H8">
            <v>3716070142.1845498</v>
          </cell>
          <cell r="I8">
            <v>3344670426.1069999</v>
          </cell>
          <cell r="J8">
            <v>-215541670.052598</v>
          </cell>
          <cell r="K8">
            <v>371399717.606857</v>
          </cell>
          <cell r="L8">
            <v>-371399716.07755101</v>
          </cell>
          <cell r="M8">
            <v>3989774200.6725602</v>
          </cell>
          <cell r="N8">
            <v>2547693854.4663401</v>
          </cell>
          <cell r="O8" t="str">
            <v>CV</v>
          </cell>
        </row>
        <row r="9">
          <cell r="B9" t="str">
            <v>Demand</v>
          </cell>
          <cell r="C9">
            <v>1188608077.5512199</v>
          </cell>
          <cell r="D9">
            <v>1194560876.1988699</v>
          </cell>
          <cell r="E9">
            <v>56544705.125158601</v>
          </cell>
          <cell r="F9">
            <v>18729431757.168701</v>
          </cell>
          <cell r="G9">
            <v>18964322227.948002</v>
          </cell>
          <cell r="H9">
            <v>3492837386.2529202</v>
          </cell>
          <cell r="I9">
            <v>3257946916.9700198</v>
          </cell>
          <cell r="J9">
            <v>0</v>
          </cell>
          <cell r="K9">
            <v>234890470.779304</v>
          </cell>
          <cell r="L9">
            <v>-234890469.28290001</v>
          </cell>
          <cell r="M9">
            <v>1366953843.2053599</v>
          </cell>
          <cell r="N9">
            <v>1372906641.85302</v>
          </cell>
          <cell r="O9" t="str">
            <v>CV</v>
          </cell>
        </row>
        <row r="10">
          <cell r="B10" t="str">
            <v>Demand_and_DG_investment</v>
          </cell>
          <cell r="C10">
            <v>1258767544.8948901</v>
          </cell>
          <cell r="D10">
            <v>1301130670.5283999</v>
          </cell>
          <cell r="E10">
            <v>341635226.454853</v>
          </cell>
          <cell r="F10">
            <v>18729431757.168701</v>
          </cell>
          <cell r="G10">
            <v>18964322227.948002</v>
          </cell>
          <cell r="H10">
            <v>3492837386.2529202</v>
          </cell>
          <cell r="I10">
            <v>3257946916.9700198</v>
          </cell>
          <cell r="J10">
            <v>-200541173.76756099</v>
          </cell>
          <cell r="K10">
            <v>234890470.77930799</v>
          </cell>
          <cell r="L10">
            <v>-234890469.28290001</v>
          </cell>
          <cell r="M10">
            <v>1352563962.9869001</v>
          </cell>
          <cell r="N10">
            <v>1394927088.62041</v>
          </cell>
          <cell r="O10" t="str">
            <v>CV</v>
          </cell>
        </row>
        <row r="11">
          <cell r="B11" t="str">
            <v>Demand_and_gen_investment</v>
          </cell>
          <cell r="C11">
            <v>2121266909.11483</v>
          </cell>
          <cell r="D11">
            <v>1238212434.4728701</v>
          </cell>
          <cell r="E11">
            <v>117906910.566329</v>
          </cell>
          <cell r="F11">
            <v>18729431757.168701</v>
          </cell>
          <cell r="G11">
            <v>18944379074.649799</v>
          </cell>
          <cell r="H11">
            <v>3492837386.2529202</v>
          </cell>
          <cell r="I11">
            <v>3277890070.2682199</v>
          </cell>
          <cell r="J11">
            <v>0</v>
          </cell>
          <cell r="K11">
            <v>214947317.481098</v>
          </cell>
          <cell r="L11">
            <v>-214947315.98469201</v>
          </cell>
          <cell r="M11">
            <v>2218307316.0296001</v>
          </cell>
          <cell r="N11">
            <v>1335252841.38764</v>
          </cell>
          <cell r="O11" t="str">
            <v>CV</v>
          </cell>
        </row>
        <row r="12">
          <cell r="B12" t="str">
            <v>Demand_major_capex</v>
          </cell>
          <cell r="C12">
            <v>1322604544.3519399</v>
          </cell>
          <cell r="D12">
            <v>1327852402.27176</v>
          </cell>
          <cell r="E12">
            <v>66702996.369459502</v>
          </cell>
          <cell r="F12">
            <v>19312306574.190102</v>
          </cell>
          <cell r="G12">
            <v>19709565977.5578</v>
          </cell>
          <cell r="H12">
            <v>3716070142.1845598</v>
          </cell>
          <cell r="I12">
            <v>3318810740.34622</v>
          </cell>
          <cell r="J12">
            <v>0</v>
          </cell>
          <cell r="K12">
            <v>397259403.36764097</v>
          </cell>
          <cell r="L12">
            <v>-397259401.838332</v>
          </cell>
          <cell r="M12">
            <v>1653160951.3501301</v>
          </cell>
          <cell r="N12">
            <v>1658408809.2699399</v>
          </cell>
          <cell r="O12" t="str">
            <v>CV</v>
          </cell>
        </row>
        <row r="13">
          <cell r="B13" t="str">
            <v>Demand_no_aob_on_existing</v>
          </cell>
          <cell r="C13">
            <v>891029876.83159697</v>
          </cell>
          <cell r="D13">
            <v>894566082.01061797</v>
          </cell>
          <cell r="E13">
            <v>54260169.575154297</v>
          </cell>
          <cell r="F13">
            <v>18729431757.168701</v>
          </cell>
          <cell r="G13">
            <v>19530756014.136299</v>
          </cell>
          <cell r="H13">
            <v>3492837386.2529202</v>
          </cell>
          <cell r="I13">
            <v>2691513129.3309598</v>
          </cell>
          <cell r="J13">
            <v>0</v>
          </cell>
          <cell r="K13">
            <v>801324256.96758199</v>
          </cell>
          <cell r="L13">
            <v>-801324256.92195797</v>
          </cell>
          <cell r="M13">
            <v>1638093964.22402</v>
          </cell>
          <cell r="N13">
            <v>1641630169.4030399</v>
          </cell>
          <cell r="O13" t="str">
            <v>CV</v>
          </cell>
        </row>
        <row r="14">
          <cell r="B14" t="str">
            <v>MWh_Demand_major_capex</v>
          </cell>
          <cell r="C14">
            <v>1376685481.3345201</v>
          </cell>
          <cell r="D14">
            <v>1376832615.2715199</v>
          </cell>
          <cell r="E14">
            <v>8004240.1789675197</v>
          </cell>
          <cell r="F14">
            <v>19312306574.190102</v>
          </cell>
          <cell r="G14">
            <v>19312306574.190102</v>
          </cell>
          <cell r="H14">
            <v>3716070142.1845598</v>
          </cell>
          <cell r="I14">
            <v>3716070142.1845598</v>
          </cell>
          <cell r="J14">
            <v>0</v>
          </cell>
          <cell r="K14">
            <v>0</v>
          </cell>
          <cell r="L14">
            <v>-1.4305114746093699E-6</v>
          </cell>
          <cell r="M14">
            <v>1368681241.15555</v>
          </cell>
          <cell r="N14">
            <v>1368828375.09255</v>
          </cell>
          <cell r="O14" t="str">
            <v>CV</v>
          </cell>
        </row>
        <row r="15">
          <cell r="B15" t="str">
            <v>No_AoB_on_existing</v>
          </cell>
          <cell r="C15">
            <v>5002982087.7833996</v>
          </cell>
          <cell r="D15">
            <v>1432925790.5590301</v>
          </cell>
          <cell r="E15">
            <v>412404113.67657</v>
          </cell>
          <cell r="F15">
            <v>19312306574.190102</v>
          </cell>
          <cell r="G15">
            <v>20245904384.5173</v>
          </cell>
          <cell r="H15">
            <v>3716070142.1845498</v>
          </cell>
          <cell r="I15">
            <v>2782472331.9359198</v>
          </cell>
          <cell r="J15">
            <v>-201566410.30684701</v>
          </cell>
          <cell r="K15">
            <v>933597810.32717502</v>
          </cell>
          <cell r="L15">
            <v>-933597810.24863303</v>
          </cell>
          <cell r="M15">
            <v>5725742194.74086</v>
          </cell>
          <cell r="N15">
            <v>2155685897.51648</v>
          </cell>
          <cell r="O15" t="str">
            <v>CV</v>
          </cell>
        </row>
        <row r="16">
          <cell r="B16" t="str">
            <v>WUNI</v>
          </cell>
          <cell r="C16">
            <v>5772542803.4720497</v>
          </cell>
          <cell r="D16">
            <v>1570302220.1145401</v>
          </cell>
          <cell r="E16">
            <v>351699546.53679901</v>
          </cell>
          <cell r="F16">
            <v>18865344839.741402</v>
          </cell>
          <cell r="G16">
            <v>19051512782.0415</v>
          </cell>
          <cell r="H16">
            <v>3492837386.2529202</v>
          </cell>
          <cell r="I16">
            <v>3279622742.0145402</v>
          </cell>
          <cell r="J16">
            <v>-168473524.37330899</v>
          </cell>
          <cell r="K16">
            <v>186167942.300098</v>
          </cell>
          <cell r="L16">
            <v>-213214644.23837599</v>
          </cell>
          <cell r="M16">
            <v>5775484723.6086597</v>
          </cell>
          <cell r="N16">
            <v>1573244140.2511499</v>
          </cell>
          <cell r="O16" t="str">
            <v>CV</v>
          </cell>
        </row>
        <row r="17">
          <cell r="B17" t="str">
            <v>All</v>
          </cell>
          <cell r="C17">
            <v>4575109886.8944397</v>
          </cell>
          <cell r="D17">
            <v>135872860.268749</v>
          </cell>
          <cell r="E17">
            <v>344150091.543612</v>
          </cell>
          <cell r="F17">
            <v>18729431757.168701</v>
          </cell>
          <cell r="G17">
            <v>18874340847.511101</v>
          </cell>
          <cell r="H17">
            <v>3492837386.2529202</v>
          </cell>
          <cell r="I17">
            <v>3347928297.5853</v>
          </cell>
          <cell r="J17">
            <v>-149671892.42619801</v>
          </cell>
          <cell r="K17">
            <v>144909090.342399</v>
          </cell>
          <cell r="L17">
            <v>-144909088.66761601</v>
          </cell>
          <cell r="M17">
            <v>4525540778.1194201</v>
          </cell>
          <cell r="N17">
            <v>86303751.493734896</v>
          </cell>
          <cell r="O17" t="str">
            <v>CS</v>
          </cell>
        </row>
        <row r="18">
          <cell r="B18" t="str">
            <v>All_Major_Capex_30_70</v>
          </cell>
          <cell r="C18">
            <v>4276518280.68297</v>
          </cell>
          <cell r="D18">
            <v>-42671190.8021653</v>
          </cell>
          <cell r="E18">
            <v>419153522.30181497</v>
          </cell>
          <cell r="F18">
            <v>19312306574.190102</v>
          </cell>
          <cell r="G18">
            <v>19774096017.2631</v>
          </cell>
          <cell r="H18">
            <v>3716070142.1845498</v>
          </cell>
          <cell r="I18">
            <v>3254280700.6408701</v>
          </cell>
          <cell r="J18">
            <v>-201525178.96169099</v>
          </cell>
          <cell r="K18">
            <v>461789443.07299399</v>
          </cell>
          <cell r="L18">
            <v>-461789441.54368103</v>
          </cell>
          <cell r="M18">
            <v>4520679380.4158401</v>
          </cell>
          <cell r="N18">
            <v>201489908.930704</v>
          </cell>
          <cell r="O18" t="str">
            <v>CS</v>
          </cell>
        </row>
        <row r="19">
          <cell r="B19" t="str">
            <v>All_major_capex</v>
          </cell>
          <cell r="C19">
            <v>4370251614.5323095</v>
          </cell>
          <cell r="D19">
            <v>50787566.160272203</v>
          </cell>
          <cell r="E19">
            <v>420695896.037898</v>
          </cell>
          <cell r="F19">
            <v>19312306574.190102</v>
          </cell>
          <cell r="G19">
            <v>19680546157.073399</v>
          </cell>
          <cell r="H19">
            <v>3716070142.1845498</v>
          </cell>
          <cell r="I19">
            <v>3347830560.8305602</v>
          </cell>
          <cell r="J19">
            <v>-201521888.36770499</v>
          </cell>
          <cell r="K19">
            <v>368239582.88329297</v>
          </cell>
          <cell r="L19">
            <v>-368239581.35398901</v>
          </cell>
          <cell r="M19">
            <v>4519317189.74541</v>
          </cell>
          <cell r="N19">
            <v>199853141.373373</v>
          </cell>
          <cell r="O19" t="str">
            <v>CS</v>
          </cell>
        </row>
        <row r="20">
          <cell r="B20" t="str">
            <v>All_major_capex_2024</v>
          </cell>
          <cell r="C20">
            <v>4531831988.8692999</v>
          </cell>
          <cell r="D20">
            <v>116309201.43552899</v>
          </cell>
          <cell r="E20">
            <v>422169544.25417697</v>
          </cell>
          <cell r="F20">
            <v>19312306574.190102</v>
          </cell>
          <cell r="G20">
            <v>19607362560.787201</v>
          </cell>
          <cell r="H20">
            <v>3716070142.1845498</v>
          </cell>
          <cell r="I20">
            <v>3421014156.9935398</v>
          </cell>
          <cell r="J20">
            <v>-201534806.51679999</v>
          </cell>
          <cell r="K20">
            <v>295055986.59709501</v>
          </cell>
          <cell r="L20">
            <v>-295055985.19101501</v>
          </cell>
          <cell r="M20">
            <v>4606253237.7290201</v>
          </cell>
          <cell r="N20">
            <v>190730450.29524699</v>
          </cell>
          <cell r="O20" t="str">
            <v>CS</v>
          </cell>
        </row>
        <row r="21">
          <cell r="B21" t="str">
            <v>All_major_capex_alternative</v>
          </cell>
          <cell r="C21">
            <v>3229070385.2378201</v>
          </cell>
          <cell r="D21">
            <v>320569791.73175699</v>
          </cell>
          <cell r="E21">
            <v>341912527.461496</v>
          </cell>
          <cell r="F21">
            <v>19312306574.190102</v>
          </cell>
          <cell r="G21">
            <v>19312306574.190102</v>
          </cell>
          <cell r="H21">
            <v>3716070142.1845498</v>
          </cell>
          <cell r="I21">
            <v>3716070142.1845498</v>
          </cell>
          <cell r="J21">
            <v>-222436517.734126</v>
          </cell>
          <cell r="K21">
            <v>-3.814697265625E-6</v>
          </cell>
          <cell r="L21">
            <v>0</v>
          </cell>
          <cell r="M21">
            <v>3109594375.5104499</v>
          </cell>
          <cell r="N21">
            <v>201093782.004383</v>
          </cell>
          <cell r="O21" t="str">
            <v>CS</v>
          </cell>
        </row>
        <row r="22">
          <cell r="B22" t="str">
            <v>All_major_capex_gen_benefits</v>
          </cell>
          <cell r="C22">
            <v>5531449898.5167799</v>
          </cell>
          <cell r="D22">
            <v>707557599.34013605</v>
          </cell>
          <cell r="E22">
            <v>446811423.98275799</v>
          </cell>
          <cell r="F22">
            <v>19312306574.190102</v>
          </cell>
          <cell r="G22">
            <v>19047143635.7281</v>
          </cell>
          <cell r="H22">
            <v>3716070142.1845498</v>
          </cell>
          <cell r="I22">
            <v>3981233082.17588</v>
          </cell>
          <cell r="J22">
            <v>-200569512.18087599</v>
          </cell>
          <cell r="K22">
            <v>-265162938.46200901</v>
          </cell>
          <cell r="L22">
            <v>265162939.991321</v>
          </cell>
          <cell r="M22">
            <v>5020045048.2528896</v>
          </cell>
          <cell r="N22">
            <v>196152749.07624501</v>
          </cell>
          <cell r="O22" t="str">
            <v>CS</v>
          </cell>
        </row>
        <row r="23">
          <cell r="B23" t="str">
            <v>All_major_capex_tiwai_off</v>
          </cell>
          <cell r="C23">
            <v>2216717880.04496</v>
          </cell>
          <cell r="D23">
            <v>82957513.079116702</v>
          </cell>
          <cell r="E23">
            <v>90921778.239960402</v>
          </cell>
          <cell r="F23">
            <v>19312306574.190102</v>
          </cell>
          <cell r="G23">
            <v>19683706291.797001</v>
          </cell>
          <cell r="H23">
            <v>3716070142.1845498</v>
          </cell>
          <cell r="I23">
            <v>3344670426.1069999</v>
          </cell>
          <cell r="J23">
            <v>-215541670.052598</v>
          </cell>
          <cell r="K23">
            <v>371399717.606857</v>
          </cell>
          <cell r="L23">
            <v>-371399716.07755101</v>
          </cell>
          <cell r="M23">
            <v>2712737489.4644599</v>
          </cell>
          <cell r="N23">
            <v>578977122.49861205</v>
          </cell>
          <cell r="O23" t="str">
            <v>CS</v>
          </cell>
        </row>
        <row r="24">
          <cell r="B24" t="str">
            <v>Demand</v>
          </cell>
          <cell r="C24">
            <v>-198535834.47930101</v>
          </cell>
          <cell r="D24">
            <v>-200535370.02986199</v>
          </cell>
          <cell r="E24">
            <v>56544705.125158601</v>
          </cell>
          <cell r="F24">
            <v>18729431757.168701</v>
          </cell>
          <cell r="G24">
            <v>18964322227.948002</v>
          </cell>
          <cell r="H24">
            <v>3492837386.2529202</v>
          </cell>
          <cell r="I24">
            <v>3257946916.9700198</v>
          </cell>
          <cell r="J24">
            <v>0</v>
          </cell>
          <cell r="K24">
            <v>234890470.779304</v>
          </cell>
          <cell r="L24">
            <v>-234890469.28290001</v>
          </cell>
          <cell r="M24">
            <v>-20190068.825155899</v>
          </cell>
          <cell r="N24">
            <v>-22189604.3757165</v>
          </cell>
          <cell r="O24" t="str">
            <v>CS</v>
          </cell>
        </row>
        <row r="25">
          <cell r="B25" t="str">
            <v>Demand_and_DG_investment</v>
          </cell>
          <cell r="C25">
            <v>19203879.748406801</v>
          </cell>
          <cell r="D25">
            <v>23711879.025813799</v>
          </cell>
          <cell r="E25">
            <v>341635226.454853</v>
          </cell>
          <cell r="F25">
            <v>18729431757.168701</v>
          </cell>
          <cell r="G25">
            <v>18964322227.948002</v>
          </cell>
          <cell r="H25">
            <v>3492837386.2529202</v>
          </cell>
          <cell r="I25">
            <v>3257946916.9700198</v>
          </cell>
          <cell r="J25">
            <v>-200541173.76756099</v>
          </cell>
          <cell r="K25">
            <v>234890470.77930799</v>
          </cell>
          <cell r="L25">
            <v>-234890469.28290001</v>
          </cell>
          <cell r="M25">
            <v>113000297.840423</v>
          </cell>
          <cell r="N25">
            <v>117508297.11782999</v>
          </cell>
          <cell r="O25" t="str">
            <v>CS</v>
          </cell>
        </row>
        <row r="26">
          <cell r="B26" t="str">
            <v>Demand_and_gen_investment</v>
          </cell>
          <cell r="C26">
            <v>1190792816.0415201</v>
          </cell>
          <cell r="D26">
            <v>-126529691.485009</v>
          </cell>
          <cell r="E26">
            <v>117906910.566329</v>
          </cell>
          <cell r="F26">
            <v>18729431757.168701</v>
          </cell>
          <cell r="G26">
            <v>18944379074.649799</v>
          </cell>
          <cell r="H26">
            <v>3492837386.2529202</v>
          </cell>
          <cell r="I26">
            <v>3277890070.2682199</v>
          </cell>
          <cell r="J26">
            <v>0</v>
          </cell>
          <cell r="K26">
            <v>214947317.481098</v>
          </cell>
          <cell r="L26">
            <v>-214947315.98469201</v>
          </cell>
          <cell r="M26">
            <v>1287833222.95629</v>
          </cell>
          <cell r="N26">
            <v>-29489284.570240501</v>
          </cell>
          <cell r="O26" t="str">
            <v>CS</v>
          </cell>
        </row>
        <row r="27">
          <cell r="B27" t="str">
            <v>Demand_major_capex</v>
          </cell>
          <cell r="C27">
            <v>-312110588.85889101</v>
          </cell>
          <cell r="D27">
            <v>-316245981.59732002</v>
          </cell>
          <cell r="E27">
            <v>66702996.369459502</v>
          </cell>
          <cell r="F27">
            <v>19312306574.190102</v>
          </cell>
          <cell r="G27">
            <v>19709565977.5578</v>
          </cell>
          <cell r="H27">
            <v>3716070142.1845598</v>
          </cell>
          <cell r="I27">
            <v>3318810740.34622</v>
          </cell>
          <cell r="J27">
            <v>0</v>
          </cell>
          <cell r="K27">
            <v>397259403.36764097</v>
          </cell>
          <cell r="L27">
            <v>-397259401.838332</v>
          </cell>
          <cell r="M27">
            <v>18445818.139290601</v>
          </cell>
          <cell r="N27">
            <v>14310425.4008616</v>
          </cell>
          <cell r="O27" t="str">
            <v>CS</v>
          </cell>
        </row>
        <row r="28">
          <cell r="B28" t="str">
            <v>Demand_no_aob_on_existing</v>
          </cell>
          <cell r="C28">
            <v>-768575478.22665298</v>
          </cell>
          <cell r="D28">
            <v>-775777121.67704999</v>
          </cell>
          <cell r="E28">
            <v>54260169.575154297</v>
          </cell>
          <cell r="F28">
            <v>18729431757.168701</v>
          </cell>
          <cell r="G28">
            <v>19530756014.136299</v>
          </cell>
          <cell r="H28">
            <v>3492837386.2529202</v>
          </cell>
          <cell r="I28">
            <v>2691513129.3309598</v>
          </cell>
          <cell r="J28">
            <v>0</v>
          </cell>
          <cell r="K28">
            <v>801324256.96758199</v>
          </cell>
          <cell r="L28">
            <v>-801324256.92195797</v>
          </cell>
          <cell r="M28">
            <v>-21511390.834225401</v>
          </cell>
          <cell r="N28">
            <v>-28713034.284622401</v>
          </cell>
          <cell r="O28" t="str">
            <v>CS</v>
          </cell>
        </row>
        <row r="29">
          <cell r="B29" t="str">
            <v>MWh_Demand_major_capex</v>
          </cell>
          <cell r="C29">
            <v>4769750.3784764996</v>
          </cell>
          <cell r="D29">
            <v>4052925.3280545501</v>
          </cell>
          <cell r="E29">
            <v>8004240.1789675197</v>
          </cell>
          <cell r="F29">
            <v>19312306574.190102</v>
          </cell>
          <cell r="G29">
            <v>19312306574.190102</v>
          </cell>
          <cell r="H29">
            <v>3716070142.1845598</v>
          </cell>
          <cell r="I29">
            <v>3716070142.1845598</v>
          </cell>
          <cell r="J29">
            <v>0</v>
          </cell>
          <cell r="K29">
            <v>0</v>
          </cell>
          <cell r="L29">
            <v>-1.4305114746093699E-6</v>
          </cell>
          <cell r="M29">
            <v>-3234489.8004910201</v>
          </cell>
          <cell r="N29">
            <v>-3951314.8509129598</v>
          </cell>
          <cell r="O29" t="str">
            <v>CS</v>
          </cell>
        </row>
        <row r="30">
          <cell r="B30" t="str">
            <v>No_AoB_on_existing</v>
          </cell>
          <cell r="C30">
            <v>3832258685.4168501</v>
          </cell>
          <cell r="D30">
            <v>-526282510.91723102</v>
          </cell>
          <cell r="E30">
            <v>412404113.67657</v>
          </cell>
          <cell r="F30">
            <v>19312306574.190102</v>
          </cell>
          <cell r="G30">
            <v>20245904384.5173</v>
          </cell>
          <cell r="H30">
            <v>3716070142.1845498</v>
          </cell>
          <cell r="I30">
            <v>2782472331.9359198</v>
          </cell>
          <cell r="J30">
            <v>-201566410.30684701</v>
          </cell>
          <cell r="K30">
            <v>933597810.32717502</v>
          </cell>
          <cell r="L30">
            <v>-933597810.24863303</v>
          </cell>
          <cell r="M30">
            <v>4555018792.3743</v>
          </cell>
          <cell r="N30">
            <v>196477596.04022101</v>
          </cell>
          <cell r="O30" t="str">
            <v>CS</v>
          </cell>
        </row>
        <row r="31">
          <cell r="B31" t="str">
            <v>WUNI</v>
          </cell>
          <cell r="C31">
            <v>4834327550.0255203</v>
          </cell>
          <cell r="D31">
            <v>135764836.14491001</v>
          </cell>
          <cell r="E31">
            <v>351699546.53679901</v>
          </cell>
          <cell r="F31">
            <v>18865344839.741402</v>
          </cell>
          <cell r="G31">
            <v>19051512782.0415</v>
          </cell>
          <cell r="H31">
            <v>3492837386.2529202</v>
          </cell>
          <cell r="I31">
            <v>3279622742.0145402</v>
          </cell>
          <cell r="J31">
            <v>-168473524.37330899</v>
          </cell>
          <cell r="K31">
            <v>186167942.300098</v>
          </cell>
          <cell r="L31">
            <v>-213214644.23837599</v>
          </cell>
          <cell r="M31">
            <v>4837269470.1621304</v>
          </cell>
          <cell r="N31">
            <v>138706756.281519</v>
          </cell>
          <cell r="O31" t="str">
            <v>CS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development cost estimate"/>
      <sheetName val="TPM implmentation cost estimate"/>
      <sheetName val="TPM ongoing cost estimate"/>
      <sheetName val="Transpower's 2016 cost estimate"/>
    </sheetNames>
    <sheetDataSet>
      <sheetData sheetId="0">
        <row r="39">
          <cell r="I39">
            <v>4077600</v>
          </cell>
        </row>
        <row r="51">
          <cell r="D51">
            <v>1950000</v>
          </cell>
        </row>
        <row r="70">
          <cell r="G70">
            <v>562500</v>
          </cell>
          <cell r="H70">
            <v>750000</v>
          </cell>
        </row>
        <row r="84">
          <cell r="G84">
            <v>1500000</v>
          </cell>
        </row>
      </sheetData>
      <sheetData sheetId="1">
        <row r="30">
          <cell r="D30">
            <v>6440666.666666666</v>
          </cell>
        </row>
        <row r="47">
          <cell r="D47">
            <v>2146888.888888889</v>
          </cell>
        </row>
        <row r="61">
          <cell r="D61">
            <v>369230.76923076925</v>
          </cell>
          <cell r="F61">
            <v>300000</v>
          </cell>
        </row>
      </sheetData>
      <sheetData sheetId="2">
        <row r="45">
          <cell r="D45">
            <v>1143750</v>
          </cell>
        </row>
        <row r="65">
          <cell r="D65">
            <v>1973639.1638371861</v>
          </cell>
        </row>
        <row r="85">
          <cell r="D85">
            <v>5767302.1721764328</v>
          </cell>
        </row>
        <row r="111">
          <cell r="E111">
            <v>315902.51014317793</v>
          </cell>
        </row>
        <row r="135">
          <cell r="P135">
            <v>372108.62203621626</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_dg"/>
    </sheetNames>
    <sheetDataSet>
      <sheetData sheetId="0">
        <row r="4">
          <cell r="H4">
            <v>0.92</v>
          </cell>
          <cell r="I4">
            <v>0.25</v>
          </cell>
          <cell r="J4">
            <v>-227502116.35077643</v>
          </cell>
        </row>
        <row r="5">
          <cell r="H5">
            <v>0.92</v>
          </cell>
          <cell r="I5">
            <v>0.5</v>
          </cell>
          <cell r="J5">
            <v>-350209994.80988264</v>
          </cell>
        </row>
        <row r="6">
          <cell r="H6">
            <v>0.92</v>
          </cell>
          <cell r="I6">
            <v>1</v>
          </cell>
          <cell r="J6">
            <v>-524000807.71603841</v>
          </cell>
        </row>
        <row r="7">
          <cell r="H7">
            <v>0.92</v>
          </cell>
          <cell r="I7">
            <v>2</v>
          </cell>
          <cell r="J7">
            <v>-785880102.48062479</v>
          </cell>
        </row>
        <row r="8">
          <cell r="H8">
            <v>0.93</v>
          </cell>
          <cell r="I8">
            <v>0.25</v>
          </cell>
          <cell r="J8">
            <v>-215435057.65679777</v>
          </cell>
        </row>
        <row r="9">
          <cell r="H9">
            <v>0.93</v>
          </cell>
          <cell r="I9">
            <v>0.5</v>
          </cell>
          <cell r="J9">
            <v>-353394927.69278044</v>
          </cell>
        </row>
        <row r="10">
          <cell r="H10">
            <v>0.93</v>
          </cell>
          <cell r="I10">
            <v>1</v>
          </cell>
          <cell r="J10">
            <v>-485364382.89896488</v>
          </cell>
        </row>
        <row r="11">
          <cell r="H11">
            <v>0.93</v>
          </cell>
          <cell r="I11">
            <v>2</v>
          </cell>
          <cell r="J11">
            <v>-668682283.25810134</v>
          </cell>
        </row>
        <row r="12">
          <cell r="H12">
            <v>0.94</v>
          </cell>
          <cell r="I12">
            <v>0.25</v>
          </cell>
          <cell r="J12">
            <v>-211741756.38686779</v>
          </cell>
        </row>
        <row r="13">
          <cell r="H13">
            <v>0.94</v>
          </cell>
          <cell r="I13">
            <v>0.5</v>
          </cell>
          <cell r="J13">
            <v>-324264396.73177201</v>
          </cell>
        </row>
        <row r="14">
          <cell r="H14">
            <v>0.94</v>
          </cell>
          <cell r="I14">
            <v>1</v>
          </cell>
          <cell r="J14">
            <v>-462160353.57368666</v>
          </cell>
        </row>
        <row r="15">
          <cell r="H15">
            <v>0.94</v>
          </cell>
          <cell r="I15">
            <v>2</v>
          </cell>
          <cell r="J15">
            <v>-692996899.80624318</v>
          </cell>
        </row>
        <row r="16">
          <cell r="H16">
            <v>0.95</v>
          </cell>
          <cell r="I16">
            <v>0.25</v>
          </cell>
          <cell r="J16">
            <v>-185718420.73300472</v>
          </cell>
        </row>
        <row r="17">
          <cell r="H17">
            <v>0.95</v>
          </cell>
          <cell r="I17">
            <v>0.5</v>
          </cell>
          <cell r="J17">
            <v>-338195085.02129322</v>
          </cell>
        </row>
        <row r="18">
          <cell r="H18">
            <v>0.95</v>
          </cell>
          <cell r="I18">
            <v>1</v>
          </cell>
          <cell r="J18">
            <v>-465597068.71742696</v>
          </cell>
        </row>
        <row r="19">
          <cell r="H19">
            <v>0.95</v>
          </cell>
          <cell r="I19">
            <v>2</v>
          </cell>
          <cell r="J19">
            <v>-679398512.07141566</v>
          </cell>
        </row>
        <row r="20">
          <cell r="H20">
            <v>0.96</v>
          </cell>
          <cell r="I20">
            <v>0.25</v>
          </cell>
          <cell r="J20">
            <v>-137225363.3539001</v>
          </cell>
        </row>
        <row r="21">
          <cell r="H21">
            <v>0.96</v>
          </cell>
          <cell r="I21">
            <v>0.5</v>
          </cell>
          <cell r="J21">
            <v>-272224050.05388331</v>
          </cell>
        </row>
        <row r="22">
          <cell r="H22">
            <v>0.96</v>
          </cell>
          <cell r="I22">
            <v>1</v>
          </cell>
          <cell r="J22">
            <v>-432937522.50322306</v>
          </cell>
        </row>
        <row r="23">
          <cell r="H23">
            <v>0.96</v>
          </cell>
          <cell r="I23">
            <v>2</v>
          </cell>
          <cell r="J23">
            <v>-634374893.58457386</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 sensitivity table"/>
    </sheetNames>
    <sheetDataSet>
      <sheetData sheetId="0">
        <row r="2">
          <cell r="A2">
            <v>-0.2</v>
          </cell>
          <cell r="B2">
            <v>-0.11</v>
          </cell>
          <cell r="C2">
            <v>7782776581.3481503</v>
          </cell>
          <cell r="D2">
            <v>7145222161.65798</v>
          </cell>
          <cell r="E2">
            <v>225904594.749302</v>
          </cell>
          <cell r="F2">
            <v>1837324323.3440499</v>
          </cell>
        </row>
        <row r="3">
          <cell r="A3">
            <v>-0.2</v>
          </cell>
          <cell r="B3">
            <v>-7.0000000000000007E-2</v>
          </cell>
          <cell r="C3">
            <v>7953142655.8007298</v>
          </cell>
          <cell r="D3">
            <v>7329228997.4549303</v>
          </cell>
          <cell r="E3">
            <v>208055975.02114001</v>
          </cell>
          <cell r="F3">
            <v>1813564212.6998899</v>
          </cell>
        </row>
        <row r="4">
          <cell r="A4">
            <v>-0.2</v>
          </cell>
          <cell r="B4">
            <v>-0.02</v>
          </cell>
          <cell r="C4">
            <v>7945913009.5929604</v>
          </cell>
          <cell r="D4">
            <v>7252796688.1551199</v>
          </cell>
          <cell r="E4">
            <v>190161162.029136</v>
          </cell>
          <cell r="F4">
            <v>1781425221.60764</v>
          </cell>
        </row>
        <row r="5">
          <cell r="A5">
            <v>-0.11</v>
          </cell>
          <cell r="B5">
            <v>-0.11</v>
          </cell>
          <cell r="C5">
            <v>4175554784.6087198</v>
          </cell>
          <cell r="D5">
            <v>5015662724.67237</v>
          </cell>
          <cell r="E5">
            <v>88062004.657082304</v>
          </cell>
          <cell r="F5">
            <v>1757090543.8698101</v>
          </cell>
        </row>
        <row r="6">
          <cell r="A6">
            <v>-0.11</v>
          </cell>
          <cell r="B6">
            <v>-7.0000000000000007E-2</v>
          </cell>
          <cell r="C6">
            <v>4359481157.0051498</v>
          </cell>
          <cell r="D6">
            <v>5340178996.1899099</v>
          </cell>
          <cell r="E6">
            <v>61960517.232063703</v>
          </cell>
          <cell r="F6">
            <v>1739810667.5450699</v>
          </cell>
        </row>
        <row r="7">
          <cell r="A7">
            <v>-0.11</v>
          </cell>
          <cell r="B7">
            <v>-0.02</v>
          </cell>
          <cell r="C7">
            <v>4370251614.5323095</v>
          </cell>
          <cell r="D7">
            <v>5309413713.10818</v>
          </cell>
          <cell r="E7">
            <v>50787566.160272501</v>
          </cell>
          <cell r="F7">
            <v>1735497812.05616</v>
          </cell>
        </row>
        <row r="8">
          <cell r="A8">
            <v>-0.09</v>
          </cell>
          <cell r="B8">
            <v>-0.11</v>
          </cell>
          <cell r="C8">
            <v>4487940725.6001396</v>
          </cell>
          <cell r="D8">
            <v>5417976546.8345699</v>
          </cell>
          <cell r="E8">
            <v>63581790.910994202</v>
          </cell>
          <cell r="F8">
            <v>1725791341.2655001</v>
          </cell>
        </row>
        <row r="9">
          <cell r="A9">
            <v>-0.09</v>
          </cell>
          <cell r="B9">
            <v>-7.0000000000000007E-2</v>
          </cell>
          <cell r="C9">
            <v>4569076823.9002504</v>
          </cell>
          <cell r="D9">
            <v>5529449373.0294199</v>
          </cell>
          <cell r="E9">
            <v>40093698.043517701</v>
          </cell>
          <cell r="F9">
            <v>1724462458.54884</v>
          </cell>
        </row>
        <row r="10">
          <cell r="A10">
            <v>-0.09</v>
          </cell>
          <cell r="B10">
            <v>-0.02</v>
          </cell>
          <cell r="C10">
            <v>4708746097.4348402</v>
          </cell>
          <cell r="D10">
            <v>5688323009.2443705</v>
          </cell>
          <cell r="E10">
            <v>28155565.8674745</v>
          </cell>
          <cell r="F10">
            <v>1689034414.8412399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sensitivity table"/>
    </sheetNames>
    <sheetDataSet>
      <sheetData sheetId="0">
        <row r="2">
          <cell r="A2">
            <v>1</v>
          </cell>
          <cell r="B2">
            <v>1</v>
          </cell>
          <cell r="C2">
            <v>4311609101.3909903</v>
          </cell>
          <cell r="D2">
            <v>5804420241.6241703</v>
          </cell>
          <cell r="E2">
            <v>64469506.251955599</v>
          </cell>
          <cell r="F2">
            <v>1907682179.3916199</v>
          </cell>
        </row>
        <row r="3">
          <cell r="A3">
            <v>1</v>
          </cell>
          <cell r="B3">
            <v>2</v>
          </cell>
          <cell r="C3">
            <v>5536363737.6238298</v>
          </cell>
          <cell r="D3">
            <v>6993053707.5156002</v>
          </cell>
          <cell r="E3">
            <v>86202467.096453696</v>
          </cell>
          <cell r="F3">
            <v>1922842259.2055399</v>
          </cell>
        </row>
        <row r="4">
          <cell r="A4">
            <v>1</v>
          </cell>
          <cell r="B4">
            <v>5</v>
          </cell>
          <cell r="C4">
            <v>6284208996.7977304</v>
          </cell>
          <cell r="D4">
            <v>6605019034.8531704</v>
          </cell>
          <cell r="E4">
            <v>115358639.087815</v>
          </cell>
          <cell r="F4">
            <v>1984263142.2042799</v>
          </cell>
        </row>
        <row r="5">
          <cell r="A5">
            <v>1.075</v>
          </cell>
          <cell r="B5">
            <v>1</v>
          </cell>
          <cell r="C5">
            <v>3905977428.0926199</v>
          </cell>
          <cell r="D5">
            <v>5157839862.0560102</v>
          </cell>
          <cell r="E5">
            <v>64784916.977411099</v>
          </cell>
          <cell r="F5">
            <v>1834176082.34641</v>
          </cell>
        </row>
        <row r="6">
          <cell r="A6">
            <v>1.075</v>
          </cell>
          <cell r="B6">
            <v>2</v>
          </cell>
          <cell r="C6">
            <v>5166808777.1187401</v>
          </cell>
          <cell r="D6">
            <v>6137398301.3319502</v>
          </cell>
          <cell r="E6">
            <v>88236036.924383894</v>
          </cell>
          <cell r="F6">
            <v>1856598142.8563499</v>
          </cell>
        </row>
        <row r="7">
          <cell r="A7">
            <v>1.075</v>
          </cell>
          <cell r="B7">
            <v>5</v>
          </cell>
          <cell r="C7">
            <v>5547515201.0194397</v>
          </cell>
          <cell r="D7">
            <v>5449701011.6736202</v>
          </cell>
          <cell r="E7">
            <v>77749362.667257905</v>
          </cell>
          <cell r="F7">
            <v>1917615431.2430601</v>
          </cell>
        </row>
        <row r="8">
          <cell r="A8">
            <v>1.1499999999999999</v>
          </cell>
          <cell r="B8">
            <v>1</v>
          </cell>
          <cell r="C8">
            <v>3336216804.9198298</v>
          </cell>
          <cell r="D8">
            <v>4421389560.3245497</v>
          </cell>
          <cell r="E8">
            <v>24242192.855246101</v>
          </cell>
          <cell r="F8">
            <v>1690640429.0190699</v>
          </cell>
        </row>
        <row r="9">
          <cell r="A9">
            <v>1.1499999999999999</v>
          </cell>
          <cell r="B9">
            <v>2</v>
          </cell>
          <cell r="C9">
            <v>4370251614.5323095</v>
          </cell>
          <cell r="D9">
            <v>5309413713.10818</v>
          </cell>
          <cell r="E9">
            <v>50787566.160272501</v>
          </cell>
          <cell r="F9">
            <v>1735497812.05616</v>
          </cell>
        </row>
        <row r="10">
          <cell r="A10">
            <v>1.1499999999999999</v>
          </cell>
          <cell r="B10">
            <v>5</v>
          </cell>
          <cell r="C10">
            <v>5445869777.7019701</v>
          </cell>
          <cell r="D10">
            <v>5748424178.99821</v>
          </cell>
          <cell r="E10">
            <v>99239882.797604293</v>
          </cell>
          <cell r="F10">
            <v>1826269750.9556201</v>
          </cell>
        </row>
        <row r="11">
          <cell r="A11">
            <v>1.2250000000000001</v>
          </cell>
          <cell r="B11">
            <v>1</v>
          </cell>
          <cell r="C11">
            <v>-330295108.25438398</v>
          </cell>
          <cell r="D11">
            <v>821896161.808851</v>
          </cell>
          <cell r="E11">
            <v>-58332677.867137998</v>
          </cell>
          <cell r="F11">
            <v>1345448106.99172</v>
          </cell>
        </row>
        <row r="12">
          <cell r="A12">
            <v>1.2250000000000001</v>
          </cell>
          <cell r="B12">
            <v>2</v>
          </cell>
          <cell r="C12">
            <v>4013861366.7107301</v>
          </cell>
          <cell r="D12">
            <v>4863733922.5778303</v>
          </cell>
          <cell r="E12">
            <v>-27286057.282488301</v>
          </cell>
          <cell r="F12">
            <v>1336537300.4983799</v>
          </cell>
        </row>
        <row r="13">
          <cell r="A13">
            <v>1.2250000000000001</v>
          </cell>
          <cell r="B13">
            <v>5</v>
          </cell>
          <cell r="C13">
            <v>10871930496.405001</v>
          </cell>
          <cell r="D13">
            <v>9243782459.3349895</v>
          </cell>
          <cell r="E13">
            <v>47127051.805932201</v>
          </cell>
          <cell r="F13">
            <v>1368768505.6571701</v>
          </cell>
        </row>
        <row r="14">
          <cell r="A14">
            <v>1.3</v>
          </cell>
          <cell r="B14">
            <v>1</v>
          </cell>
          <cell r="C14">
            <v>1593344969.9093101</v>
          </cell>
          <cell r="D14">
            <v>2398704152.54954</v>
          </cell>
          <cell r="E14">
            <v>-61899331.018629499</v>
          </cell>
          <cell r="F14">
            <v>1092227864.8608</v>
          </cell>
        </row>
        <row r="15">
          <cell r="A15">
            <v>1.3</v>
          </cell>
          <cell r="B15">
            <v>2</v>
          </cell>
          <cell r="C15">
            <v>2997576475.7557001</v>
          </cell>
          <cell r="D15">
            <v>3488503667.4461999</v>
          </cell>
          <cell r="E15">
            <v>-62023838.332021996</v>
          </cell>
          <cell r="F15">
            <v>1141345523.3762701</v>
          </cell>
        </row>
        <row r="16">
          <cell r="A16">
            <v>1.3</v>
          </cell>
          <cell r="B16">
            <v>5</v>
          </cell>
          <cell r="C16">
            <v>7268081484.8582096</v>
          </cell>
          <cell r="D16">
            <v>6056211753.9450197</v>
          </cell>
          <cell r="E16">
            <v>-59911777.246476397</v>
          </cell>
          <cell r="F16">
            <v>1182209257.5119801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ensitivity table"/>
    </sheetNames>
    <sheetDataSet>
      <sheetData sheetId="0">
        <row r="2">
          <cell r="C2">
            <v>4366250579.9278402</v>
          </cell>
          <cell r="D2">
            <v>5347839620.16891</v>
          </cell>
          <cell r="E2">
            <v>-18646403.385758199</v>
          </cell>
          <cell r="F2">
            <v>1600236847.10272</v>
          </cell>
        </row>
        <row r="3">
          <cell r="C3">
            <v>4779937343.3065004</v>
          </cell>
          <cell r="D3">
            <v>5717712191.3026104</v>
          </cell>
          <cell r="E3">
            <v>77319800.976441607</v>
          </cell>
          <cell r="F3">
            <v>1723362224.17992</v>
          </cell>
        </row>
        <row r="4">
          <cell r="C4">
            <v>4206244815.95854</v>
          </cell>
          <cell r="D4">
            <v>5075052522.9868298</v>
          </cell>
          <cell r="E4">
            <v>199096429.38728401</v>
          </cell>
          <cell r="F4">
            <v>1910589628.7524199</v>
          </cell>
        </row>
        <row r="5">
          <cell r="C5">
            <v>4178368990.33635</v>
          </cell>
          <cell r="D5">
            <v>5071123152.1435604</v>
          </cell>
          <cell r="E5">
            <v>353794943.831994</v>
          </cell>
          <cell r="F5">
            <v>2107451379.1003399</v>
          </cell>
        </row>
        <row r="6">
          <cell r="C6">
            <v>4415666174.56005</v>
          </cell>
          <cell r="D6">
            <v>5331764175.0222902</v>
          </cell>
          <cell r="E6">
            <v>-44101988.024837703</v>
          </cell>
          <cell r="F6">
            <v>1570119062.6047201</v>
          </cell>
        </row>
        <row r="7">
          <cell r="C7">
            <v>4370251614.5323095</v>
          </cell>
          <cell r="D7">
            <v>5309413713.10818</v>
          </cell>
          <cell r="E7">
            <v>50787566.160272501</v>
          </cell>
          <cell r="F7">
            <v>1735497812.05616</v>
          </cell>
        </row>
        <row r="8">
          <cell r="C8">
            <v>4483496726.06919</v>
          </cell>
          <cell r="D8">
            <v>5404656752.3151798</v>
          </cell>
          <cell r="E8">
            <v>124588636.560056</v>
          </cell>
          <cell r="F8">
            <v>1821380836.4945199</v>
          </cell>
        </row>
        <row r="9">
          <cell r="C9">
            <v>4475908205.30865</v>
          </cell>
          <cell r="D9">
            <v>5336175745.4074697</v>
          </cell>
          <cell r="E9">
            <v>280871168.328237</v>
          </cell>
          <cell r="F9">
            <v>1929760630.75225</v>
          </cell>
        </row>
        <row r="10">
          <cell r="C10">
            <v>4186811489.7996402</v>
          </cell>
          <cell r="D10">
            <v>5122687159.7141504</v>
          </cell>
          <cell r="E10">
            <v>-85442567.313807905</v>
          </cell>
          <cell r="F10">
            <v>1516939020.1515</v>
          </cell>
        </row>
        <row r="11">
          <cell r="C11">
            <v>4725316366.1840496</v>
          </cell>
          <cell r="D11">
            <v>5691564304.3877697</v>
          </cell>
          <cell r="E11">
            <v>-3749414.1241524699</v>
          </cell>
          <cell r="F11">
            <v>1635111721.1691501</v>
          </cell>
        </row>
        <row r="12">
          <cell r="C12">
            <v>4364567152.9534397</v>
          </cell>
          <cell r="D12">
            <v>5290016231.1171503</v>
          </cell>
          <cell r="E12">
            <v>93483486.061951399</v>
          </cell>
          <cell r="F12">
            <v>1782411585.3875501</v>
          </cell>
        </row>
        <row r="13">
          <cell r="C13">
            <v>4591409060.8206301</v>
          </cell>
          <cell r="D13">
            <v>5515018416.8151503</v>
          </cell>
          <cell r="E13">
            <v>135344315.791403</v>
          </cell>
          <cell r="F13">
            <v>1834540381.9893899</v>
          </cell>
        </row>
        <row r="14">
          <cell r="C14">
            <v>2055998564.0106201</v>
          </cell>
          <cell r="D14">
            <v>2953852132.8154502</v>
          </cell>
          <cell r="E14">
            <v>-133020867.093996</v>
          </cell>
          <cell r="F14">
            <v>1463272966.10115</v>
          </cell>
        </row>
        <row r="15">
          <cell r="C15">
            <v>4169674972.5848999</v>
          </cell>
          <cell r="D15">
            <v>5102246024.3751202</v>
          </cell>
          <cell r="E15">
            <v>-58154231.327780001</v>
          </cell>
          <cell r="F15">
            <v>1541105823.7490699</v>
          </cell>
        </row>
        <row r="16">
          <cell r="C16">
            <v>4516324092.3435898</v>
          </cell>
          <cell r="D16">
            <v>5486999796.0203896</v>
          </cell>
          <cell r="E16">
            <v>28397791.3493689</v>
          </cell>
          <cell r="F16">
            <v>1680683656.19891</v>
          </cell>
        </row>
        <row r="17">
          <cell r="C17">
            <v>4404321197.3405104</v>
          </cell>
          <cell r="D17">
            <v>5284120338.5008402</v>
          </cell>
          <cell r="E17">
            <v>70271785.1346239</v>
          </cell>
          <cell r="F17">
            <v>1720115776.03177</v>
          </cell>
        </row>
        <row r="18">
          <cell r="C18">
            <v>772642019.24023294</v>
          </cell>
          <cell r="D18">
            <v>1866878749.47645</v>
          </cell>
          <cell r="E18">
            <v>-194047694.567606</v>
          </cell>
          <cell r="F18">
            <v>1429035405.1312599</v>
          </cell>
        </row>
        <row r="19">
          <cell r="C19">
            <v>1589545851.2309401</v>
          </cell>
          <cell r="D19">
            <v>2519387634.3031301</v>
          </cell>
          <cell r="E19">
            <v>-125773509.717952</v>
          </cell>
          <cell r="F19">
            <v>1476316825.5666201</v>
          </cell>
        </row>
        <row r="20">
          <cell r="C20">
            <v>4215714251.5856299</v>
          </cell>
          <cell r="D20">
            <v>5096283626.2811899</v>
          </cell>
          <cell r="E20">
            <v>-42153866.015436299</v>
          </cell>
          <cell r="F20">
            <v>1540695303.04757</v>
          </cell>
        </row>
        <row r="21">
          <cell r="C21">
            <v>4348098978.5121403</v>
          </cell>
          <cell r="D21">
            <v>5323193023.5143604</v>
          </cell>
          <cell r="E21">
            <v>38713097.194734603</v>
          </cell>
          <cell r="F21">
            <v>1680643628.3338001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ex DG sensitivity table"/>
    </sheetNames>
    <sheetDataSet>
      <sheetData sheetId="0">
        <row r="2">
          <cell r="A2">
            <v>1</v>
          </cell>
          <cell r="B2">
            <v>1</v>
          </cell>
          <cell r="C2">
            <v>373936804.60083801</v>
          </cell>
          <cell r="D2">
            <v>1853274152.2379401</v>
          </cell>
          <cell r="E2">
            <v>-116643650.696438</v>
          </cell>
          <cell r="F2">
            <v>1763737402.9073999</v>
          </cell>
        </row>
        <row r="3">
          <cell r="A3">
            <v>1</v>
          </cell>
          <cell r="B3">
            <v>2</v>
          </cell>
          <cell r="C3">
            <v>672166756.11437297</v>
          </cell>
          <cell r="D3">
            <v>2180750381.4663301</v>
          </cell>
          <cell r="E3">
            <v>-95373225.930127099</v>
          </cell>
          <cell r="F3">
            <v>1779225662.53982</v>
          </cell>
        </row>
        <row r="4">
          <cell r="A4">
            <v>1</v>
          </cell>
          <cell r="B4">
            <v>5</v>
          </cell>
          <cell r="C4">
            <v>2407482148.3723898</v>
          </cell>
          <cell r="D4">
            <v>3015262164.1279302</v>
          </cell>
          <cell r="E4">
            <v>-21752261.0481118</v>
          </cell>
          <cell r="F4">
            <v>1833006632.06249</v>
          </cell>
        </row>
        <row r="5">
          <cell r="A5">
            <v>1.075</v>
          </cell>
          <cell r="B5">
            <v>1</v>
          </cell>
          <cell r="C5">
            <v>799456105.22307599</v>
          </cell>
          <cell r="D5">
            <v>2217702976.0039701</v>
          </cell>
          <cell r="E5">
            <v>-62947094.884120397</v>
          </cell>
          <cell r="F5">
            <v>1540435996.0234399</v>
          </cell>
        </row>
        <row r="6">
          <cell r="A6">
            <v>1.075</v>
          </cell>
          <cell r="B6">
            <v>2</v>
          </cell>
          <cell r="C6">
            <v>1217840064.69859</v>
          </cell>
          <cell r="D6">
            <v>2518012712.70087</v>
          </cell>
          <cell r="E6">
            <v>-41548694.138280801</v>
          </cell>
          <cell r="F6">
            <v>1563247382.3164799</v>
          </cell>
        </row>
        <row r="7">
          <cell r="A7">
            <v>1.075</v>
          </cell>
          <cell r="B7">
            <v>5</v>
          </cell>
          <cell r="C7">
            <v>2545503599.2196898</v>
          </cell>
          <cell r="D7">
            <v>2866529675.86094</v>
          </cell>
          <cell r="E7">
            <v>12801499.713047599</v>
          </cell>
          <cell r="F7">
            <v>1627505139.9017701</v>
          </cell>
        </row>
        <row r="8">
          <cell r="A8">
            <v>1.1499999999999999</v>
          </cell>
          <cell r="B8">
            <v>1</v>
          </cell>
          <cell r="C8">
            <v>807797352.99625301</v>
          </cell>
          <cell r="D8">
            <v>1894459040.2855899</v>
          </cell>
          <cell r="E8">
            <v>-78124050.384482905</v>
          </cell>
          <cell r="F8">
            <v>1309387994.6344099</v>
          </cell>
        </row>
        <row r="9">
          <cell r="A9">
            <v>1.1499999999999999</v>
          </cell>
          <cell r="B9">
            <v>2</v>
          </cell>
          <cell r="C9">
            <v>1563375664.20927</v>
          </cell>
          <cell r="D9">
            <v>2513747655.7465301</v>
          </cell>
          <cell r="E9">
            <v>-17098563.1803644</v>
          </cell>
          <cell r="F9">
            <v>1348615041.5870299</v>
          </cell>
        </row>
        <row r="10">
          <cell r="A10">
            <v>1.1499999999999999</v>
          </cell>
          <cell r="B10">
            <v>5</v>
          </cell>
          <cell r="C10">
            <v>2306627503.2789402</v>
          </cell>
          <cell r="D10">
            <v>2859920035.9840999</v>
          </cell>
          <cell r="E10">
            <v>39690903.631777897</v>
          </cell>
          <cell r="F10">
            <v>1543169677.62012</v>
          </cell>
        </row>
        <row r="11">
          <cell r="A11">
            <v>1.2250000000000001</v>
          </cell>
          <cell r="B11">
            <v>1</v>
          </cell>
          <cell r="C11">
            <v>1173939605.5800099</v>
          </cell>
          <cell r="D11">
            <v>2091278765.381</v>
          </cell>
          <cell r="E11">
            <v>-26427415.5583339</v>
          </cell>
          <cell r="F11">
            <v>1003952102.05743</v>
          </cell>
        </row>
        <row r="12">
          <cell r="A12">
            <v>1.2250000000000001</v>
          </cell>
          <cell r="B12">
            <v>2</v>
          </cell>
          <cell r="C12">
            <v>2169853751.0868802</v>
          </cell>
          <cell r="D12">
            <v>2917734044.3420501</v>
          </cell>
          <cell r="E12">
            <v>6639147.6178214597</v>
          </cell>
          <cell r="F12">
            <v>1029216902.82923</v>
          </cell>
        </row>
        <row r="13">
          <cell r="A13">
            <v>1.2250000000000001</v>
          </cell>
          <cell r="B13">
            <v>5</v>
          </cell>
          <cell r="C13">
            <v>5885006118.0269203</v>
          </cell>
          <cell r="D13">
            <v>4617459071.3621197</v>
          </cell>
          <cell r="E13">
            <v>57014219.203295097</v>
          </cell>
          <cell r="F13">
            <v>1114767598.81178</v>
          </cell>
        </row>
        <row r="14">
          <cell r="A14">
            <v>1.3</v>
          </cell>
          <cell r="B14">
            <v>1</v>
          </cell>
          <cell r="C14">
            <v>1083864743.5016899</v>
          </cell>
          <cell r="D14">
            <v>1950590337.6654799</v>
          </cell>
          <cell r="E14">
            <v>-72938461.536166698</v>
          </cell>
          <cell r="F14">
            <v>924392930.45643497</v>
          </cell>
        </row>
        <row r="15">
          <cell r="A15">
            <v>1.3</v>
          </cell>
          <cell r="B15">
            <v>2</v>
          </cell>
          <cell r="C15">
            <v>2471518194.5268798</v>
          </cell>
          <cell r="D15">
            <v>2948058116.9913001</v>
          </cell>
          <cell r="E15">
            <v>35127631.259438403</v>
          </cell>
          <cell r="F15">
            <v>945929383.96705198</v>
          </cell>
        </row>
        <row r="16">
          <cell r="A16">
            <v>1.3</v>
          </cell>
          <cell r="B16">
            <v>5</v>
          </cell>
          <cell r="C16">
            <v>5435594947.1003704</v>
          </cell>
          <cell r="D16">
            <v>4549259298.3303699</v>
          </cell>
          <cell r="E16">
            <v>63247194.195454299</v>
          </cell>
          <cell r="F16">
            <v>986281222.72185302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workbookViewId="0"/>
  </sheetViews>
  <sheetFormatPr defaultRowHeight="15" x14ac:dyDescent="0.25"/>
  <cols>
    <col min="1" max="1" width="45.140625" customWidth="1"/>
    <col min="2" max="2" width="19" customWidth="1"/>
    <col min="3" max="3" width="18.7109375" customWidth="1"/>
    <col min="4" max="4" width="19" customWidth="1"/>
    <col min="6" max="6" width="16.140625" customWidth="1"/>
    <col min="7" max="7" width="12.5703125" customWidth="1"/>
    <col min="8" max="8" width="10.140625" customWidth="1"/>
    <col min="9" max="9" width="18.28515625" customWidth="1"/>
    <col min="10" max="10" width="11.42578125" customWidth="1"/>
    <col min="11" max="11" width="9.7109375" customWidth="1"/>
    <col min="12" max="12" width="17.140625" customWidth="1"/>
    <col min="13" max="13" width="11.85546875" customWidth="1"/>
    <col min="14" max="14" width="14.42578125" customWidth="1"/>
  </cols>
  <sheetData>
    <row r="1" spans="1:14" ht="14.85" thickBot="1" x14ac:dyDescent="0.6"/>
    <row r="2" spans="1:14" ht="14.85" thickBot="1" x14ac:dyDescent="0.6">
      <c r="F2" s="26" t="s">
        <v>46</v>
      </c>
      <c r="G2" s="27"/>
      <c r="H2" s="27"/>
      <c r="I2" s="27" t="s">
        <v>23</v>
      </c>
      <c r="J2" s="27"/>
      <c r="K2" s="27"/>
      <c r="L2" s="27" t="s">
        <v>187</v>
      </c>
      <c r="M2" s="27"/>
      <c r="N2" s="27"/>
    </row>
    <row r="3" spans="1:14" ht="14.85" thickBot="1" x14ac:dyDescent="0.6">
      <c r="A3" s="26" t="s">
        <v>45</v>
      </c>
      <c r="B3" s="27" t="s">
        <v>46</v>
      </c>
      <c r="C3" s="27" t="s">
        <v>23</v>
      </c>
      <c r="D3" s="27" t="s">
        <v>187</v>
      </c>
      <c r="F3" s="26" t="s">
        <v>62</v>
      </c>
      <c r="G3" s="27" t="s">
        <v>63</v>
      </c>
      <c r="H3" s="27" t="s">
        <v>64</v>
      </c>
      <c r="I3" s="27" t="s">
        <v>62</v>
      </c>
      <c r="J3" s="27" t="s">
        <v>63</v>
      </c>
      <c r="K3" s="27" t="s">
        <v>64</v>
      </c>
      <c r="L3" s="27" t="s">
        <v>62</v>
      </c>
      <c r="M3" s="27" t="s">
        <v>63</v>
      </c>
      <c r="N3" s="27" t="s">
        <v>64</v>
      </c>
    </row>
    <row r="4" spans="1:14" ht="24.95" thickBot="1" x14ac:dyDescent="0.6">
      <c r="A4" s="28" t="s">
        <v>48</v>
      </c>
      <c r="B4" s="89" t="str">
        <f>+TEXT(F4,"$#,##0") &amp; CHAR(10) &amp; " (" &amp; TEXT(G4,"$#,##0") &amp; " - " &amp; TEXT(H4,"$#,##0") &amp; ")"</f>
        <v>$2,579
 ($81 - $5,678)</v>
      </c>
      <c r="C4" s="89" t="str">
        <f>+TEXT(I4,"$#,##0") &amp; CHAR(10) &amp; " (" &amp; TEXT(J4,"$#,##0") &amp; " - " &amp; TEXT(K4,"$#,##0") &amp; ")"</f>
        <v>$1,775
 ($4 - $4,197)</v>
      </c>
      <c r="D4" s="89" t="str">
        <f>+TEXT(L4,"$#,##0") &amp; CHAR(10) &amp; " (" &amp; TEXT(M4,"$#,##0") &amp; " - " &amp; TEXT(N4,"$#,##0") &amp; ")"</f>
        <v>$2,587
 ($26 - $5,937)</v>
      </c>
      <c r="F4" s="35">
        <f>0.5*'Summary grid use model'!F8+0.5*'Summary grid use model'!E8+'Summary grid use model'!M8</f>
        <v>2578.7591732295841</v>
      </c>
      <c r="G4" s="39">
        <f>+'Summary grid use model'!F7+'Summary grid use model'!M7</f>
        <v>81.013421770320974</v>
      </c>
      <c r="H4" s="35">
        <f>+'Summary grid use model'!E29+'Summary grid use model'!M29</f>
        <v>5677.653295991473</v>
      </c>
      <c r="I4" s="44">
        <f>+'Summary grid use model'!F12+0.5*('Summary grid use model'!E12-'Summary grid use model'!F12)+'Summary grid use model'!M12</f>
        <v>1774.8200884847847</v>
      </c>
      <c r="J4" s="39">
        <f>+'Summary grid use model'!F11+'Summary grid use model'!M11</f>
        <v>4.0529253280545499</v>
      </c>
      <c r="K4" s="36">
        <f>+'Summary grid use model'!E33+'Summary grid use model'!M33</f>
        <v>4197.0982488070558</v>
      </c>
      <c r="L4" s="35">
        <f>0.5*'Summary grid use model'!F14+0.5*'Summary grid use model'!E14+'Summary grid use model'!M14</f>
        <v>2586.5858975769847</v>
      </c>
      <c r="M4" s="39">
        <f>+'Summary grid use model'!F15+'Summary grid use model'!M15</f>
        <v>25.547135290531969</v>
      </c>
      <c r="N4" s="35">
        <f>+'Summary grid use model'!E35+'Summary grid use model'!M35</f>
        <v>5936.5798981105745</v>
      </c>
    </row>
    <row r="5" spans="1:14" ht="24.95" thickBot="1" x14ac:dyDescent="0.6">
      <c r="A5" s="28" t="s">
        <v>49</v>
      </c>
      <c r="B5" s="89" t="str">
        <f t="shared" ref="B5:B9" si="0">+TEXT(F5,"$#,##0") &amp; CHAR(10) &amp; " (" &amp; TEXT(G5,"$#,##0") &amp; " - " &amp; TEXT(H5,"$#,##0") &amp; ")"</f>
        <v>$202
 ($137 - $786)</v>
      </c>
      <c r="C5" s="89" t="str">
        <f t="shared" ref="C5:C9" si="1">+TEXT(I5,"$#,##0") &amp; CHAR(10) &amp; " (" &amp; TEXT(J5,"$#,##0") &amp; " - " &amp; TEXT(K5,"$#,##0") &amp; ")"</f>
        <v>$222
 ($137 - $786)</v>
      </c>
      <c r="D5" s="89" t="str">
        <f t="shared" ref="D5:D9" si="2">+TEXT(L5,"$#,##0") &amp; CHAR(10) &amp; " (" &amp; TEXT(M5,"$#,##0") &amp; " - " &amp; TEXT(N5,"$#,##0") &amp; ")"</f>
        <v>$202
 ($137 - $786)</v>
      </c>
      <c r="F5" s="34">
        <f>-'Summary grid use model'!L29</f>
        <v>201.52188836770497</v>
      </c>
      <c r="G5" s="39">
        <f>-MAX('Battery sensitivities'!$D$4:$D$23)/1000000</f>
        <v>137.22536335390009</v>
      </c>
      <c r="H5" s="39">
        <f>-MIN('Battery sensitivities'!$D$4:$D$23)/1000000</f>
        <v>785.88010248062483</v>
      </c>
      <c r="I5" s="39">
        <f>+-'Summary grid use model'!L12</f>
        <v>222.436517734126</v>
      </c>
      <c r="J5" s="39">
        <f>+G5</f>
        <v>137.22536335390009</v>
      </c>
      <c r="K5" s="39">
        <f>+H5</f>
        <v>785.88010248062483</v>
      </c>
      <c r="L5" s="39">
        <f>-'Summary grid use model'!L14</f>
        <v>201.56641030684702</v>
      </c>
      <c r="M5" s="39">
        <f>+G5</f>
        <v>137.22536335390009</v>
      </c>
      <c r="N5" s="39">
        <f>+H5</f>
        <v>785.88010248062483</v>
      </c>
    </row>
    <row r="6" spans="1:14" ht="24.95" thickBot="1" x14ac:dyDescent="0.6">
      <c r="A6" s="28" t="s">
        <v>50</v>
      </c>
      <c r="B6" s="89" t="str">
        <f t="shared" si="0"/>
        <v>$43
 ($9 - $112)</v>
      </c>
      <c r="C6" s="91" t="s">
        <v>41</v>
      </c>
      <c r="D6" s="89" t="str">
        <f t="shared" si="2"/>
        <v>$43
 ($9 - $112)</v>
      </c>
      <c r="F6" s="35">
        <f>+'Investment efficiencies'!D14/1000000</f>
        <v>42.930785999999998</v>
      </c>
      <c r="G6" s="38">
        <f>+'Investment efficiencies'!B14/1000000</f>
        <v>9.0053570000000001</v>
      </c>
      <c r="H6" s="39">
        <f>+'Investment efficiencies'!E14/1000000</f>
        <v>112.438214</v>
      </c>
      <c r="I6" s="47" t="s">
        <v>41</v>
      </c>
      <c r="J6" s="47" t="s">
        <v>41</v>
      </c>
      <c r="K6" s="47" t="s">
        <v>41</v>
      </c>
      <c r="L6" s="46">
        <f>+F6</f>
        <v>42.930785999999998</v>
      </c>
      <c r="M6" s="46">
        <f t="shared" ref="M6:N8" si="3">+G6</f>
        <v>9.0053570000000001</v>
      </c>
      <c r="N6" s="46">
        <f t="shared" si="3"/>
        <v>112.438214</v>
      </c>
    </row>
    <row r="7" spans="1:14" ht="26.25" thickBot="1" x14ac:dyDescent="0.3">
      <c r="A7" s="28" t="s">
        <v>51</v>
      </c>
      <c r="B7" s="89" t="str">
        <f t="shared" si="0"/>
        <v>$77
 ($29 - $125)</v>
      </c>
      <c r="C7" s="91" t="s">
        <v>41</v>
      </c>
      <c r="D7" s="89" t="str">
        <f t="shared" si="2"/>
        <v>$77
 ($29 - $125)</v>
      </c>
      <c r="F7" s="35">
        <f>+'Investment efficiencies'!C6+'Investment efficiencies'!C7</f>
        <v>76.926180775678787</v>
      </c>
      <c r="G7" s="35">
        <f>+'Investment efficiencies'!D6+'Investment efficiencies'!D7</f>
        <v>29.064702905550693</v>
      </c>
      <c r="H7" s="35">
        <f>+'Investment efficiencies'!E6+'Investment efficiencies'!E7</f>
        <v>124.78765864580687</v>
      </c>
      <c r="I7" s="47" t="s">
        <v>41</v>
      </c>
      <c r="J7" s="47" t="s">
        <v>41</v>
      </c>
      <c r="K7" s="47" t="s">
        <v>41</v>
      </c>
      <c r="L7" s="36">
        <f>+F7</f>
        <v>76.926180775678787</v>
      </c>
      <c r="M7" s="36">
        <f t="shared" si="3"/>
        <v>29.064702905550693</v>
      </c>
      <c r="N7" s="36">
        <f t="shared" si="3"/>
        <v>124.78765864580687</v>
      </c>
    </row>
    <row r="8" spans="1:14" ht="24.95" thickBot="1" x14ac:dyDescent="0.6">
      <c r="A8" s="28" t="s">
        <v>143</v>
      </c>
      <c r="B8" s="89" t="str">
        <f t="shared" si="0"/>
        <v>$26
 ($10 - $48)</v>
      </c>
      <c r="C8" s="91" t="s">
        <v>41</v>
      </c>
      <c r="D8" s="89" t="str">
        <f t="shared" si="2"/>
        <v>$26
 ($10 - $48)</v>
      </c>
      <c r="F8" s="35">
        <f>+'Investment efficiencies'!C5</f>
        <v>26.221931349495001</v>
      </c>
      <c r="G8" s="35">
        <f>+'Investment efficiencies'!D5</f>
        <v>9.834187997713709</v>
      </c>
      <c r="H8" s="35">
        <f>+'Investment efficiencies'!E5</f>
        <v>48.293041066872902</v>
      </c>
      <c r="I8" s="47" t="s">
        <v>41</v>
      </c>
      <c r="J8" s="47" t="s">
        <v>41</v>
      </c>
      <c r="K8" s="47" t="s">
        <v>41</v>
      </c>
      <c r="L8" s="36">
        <f>+F8</f>
        <v>26.221931349495001</v>
      </c>
      <c r="M8" s="36">
        <f t="shared" si="3"/>
        <v>9.834187997713709</v>
      </c>
      <c r="N8" s="36">
        <f t="shared" si="3"/>
        <v>48.293041066872902</v>
      </c>
    </row>
    <row r="9" spans="1:14" ht="24.95" thickBot="1" x14ac:dyDescent="0.6">
      <c r="A9" s="30" t="s">
        <v>52</v>
      </c>
      <c r="B9" s="90" t="str">
        <f t="shared" si="0"/>
        <v>$2,926
 ($266 - $6,749)</v>
      </c>
      <c r="C9" s="90" t="str">
        <f t="shared" si="1"/>
        <v>$1,997
 ($141 - $4,983)</v>
      </c>
      <c r="D9" s="90" t="str">
        <f t="shared" si="2"/>
        <v>$2,934
 ($211 - $7,008)</v>
      </c>
      <c r="F9" s="37">
        <f>+SUM(F4:F8)</f>
        <v>2926.3599597224629</v>
      </c>
      <c r="G9" s="37">
        <f t="shared" ref="G9:N9" si="4">+SUM(G4:G8)</f>
        <v>266.14303302748544</v>
      </c>
      <c r="H9" s="37">
        <f t="shared" si="4"/>
        <v>6749.0523121847782</v>
      </c>
      <c r="I9" s="37">
        <f t="shared" si="4"/>
        <v>1997.2566062189107</v>
      </c>
      <c r="J9" s="37">
        <f t="shared" si="4"/>
        <v>141.27828868195465</v>
      </c>
      <c r="K9" s="37">
        <f t="shared" si="4"/>
        <v>4982.9783512876802</v>
      </c>
      <c r="L9" s="37">
        <f>+SUM(L4:L8)</f>
        <v>2934.2312060090057</v>
      </c>
      <c r="M9" s="37">
        <f t="shared" si="4"/>
        <v>210.67674654769647</v>
      </c>
      <c r="N9" s="37">
        <f t="shared" si="4"/>
        <v>7007.9789143038797</v>
      </c>
    </row>
    <row r="10" spans="1:14" ht="14.85" thickBot="1" x14ac:dyDescent="0.6">
      <c r="A10" s="32" t="s">
        <v>53</v>
      </c>
      <c r="B10" s="33" t="s">
        <v>46</v>
      </c>
      <c r="C10" s="33" t="s">
        <v>23</v>
      </c>
      <c r="D10" s="33" t="s">
        <v>23</v>
      </c>
      <c r="F10" s="32" t="s">
        <v>46</v>
      </c>
      <c r="G10" s="33"/>
      <c r="H10" s="33"/>
      <c r="I10" s="33" t="s">
        <v>23</v>
      </c>
      <c r="J10" s="33"/>
      <c r="K10" s="33"/>
      <c r="L10" s="33" t="s">
        <v>46</v>
      </c>
      <c r="M10" s="33"/>
      <c r="N10" s="33"/>
    </row>
    <row r="11" spans="1:14" ht="24.95" thickBot="1" x14ac:dyDescent="0.6">
      <c r="A11" s="28" t="s">
        <v>54</v>
      </c>
      <c r="B11" s="89" t="str">
        <f>+TEXT(F11,"$#,##0") &amp; CHAR(10) &amp; " (" &amp; TEXT(G11,"$#,##0") &amp; " - " &amp; TEXT(H11,"$#,##0") &amp; ")"</f>
        <v>$8
 ($4 - $12)</v>
      </c>
      <c r="C11" s="89" t="str">
        <f>+TEXT(I11,"$#,##0") &amp; CHAR(10) &amp; " (" &amp; TEXT(J11,"$#,##0") &amp; " - " &amp; TEXT(K11,"$#,##0") &amp; ")"</f>
        <v>$6
 ($3 - $8)</v>
      </c>
      <c r="D11" s="89" t="str">
        <f>+TEXT(L11,"$#,##0") &amp; CHAR(10) &amp; " (" &amp; TEXT(M11,"$#,##0") &amp; " - " &amp; TEXT(N11,"$#,##0") &amp; ")"</f>
        <v>$8
 ($4 - $12)</v>
      </c>
      <c r="F11" s="78">
        <f>+Costs!C7/1000000</f>
        <v>7.83</v>
      </c>
      <c r="G11" s="79">
        <f>+F11*0.5</f>
        <v>3.915</v>
      </c>
      <c r="H11" s="78">
        <f>+F11*1.5</f>
        <v>11.745000000000001</v>
      </c>
      <c r="I11" s="44">
        <f>+Costs!D7/1000000</f>
        <v>5.51</v>
      </c>
      <c r="J11" s="39">
        <f>+I11*0.5</f>
        <v>2.7549999999999999</v>
      </c>
      <c r="K11" s="35">
        <f>+I11*1.5</f>
        <v>8.2650000000000006</v>
      </c>
      <c r="L11" s="35">
        <f>+F11</f>
        <v>7.83</v>
      </c>
      <c r="M11" s="39">
        <f>+L11*0.5</f>
        <v>3.915</v>
      </c>
      <c r="N11" s="35">
        <f>+L11*1.5</f>
        <v>11.745000000000001</v>
      </c>
    </row>
    <row r="12" spans="1:14" ht="24.95" thickBot="1" x14ac:dyDescent="0.6">
      <c r="A12" s="28" t="s">
        <v>55</v>
      </c>
      <c r="B12" s="89" t="str">
        <f t="shared" ref="B12:B17" si="5">+TEXT(F12,"$#,##0") &amp; CHAR(10) &amp; " (" &amp; TEXT(G12,"$#,##0") &amp; " - " &amp; TEXT(H12,"$#,##0") &amp; ")"</f>
        <v>$9
 ($4 - $13)</v>
      </c>
      <c r="C12" s="89" t="str">
        <f t="shared" ref="C12:C17" si="6">+TEXT(I12,"$#,##0") &amp; CHAR(10) &amp; " (" &amp; TEXT(J12,"$#,##0") &amp; " - " &amp; TEXT(K12,"$#,##0") &amp; ")"</f>
        <v>$4
 ($2 - $5)</v>
      </c>
      <c r="D12" s="89" t="str">
        <f t="shared" ref="D12:D17" si="7">+TEXT(L12,"$#,##0") &amp; CHAR(10) &amp; " (" &amp; TEXT(M12,"$#,##0") &amp; " - " &amp; TEXT(N12,"$#,##0") &amp; ")"</f>
        <v>$9
 ($4 - $13)</v>
      </c>
      <c r="F12" s="78">
        <f>+Costs!G6/1000000</f>
        <v>8.61</v>
      </c>
      <c r="G12" s="79">
        <f>+F12*0.5</f>
        <v>4.3049999999999997</v>
      </c>
      <c r="H12" s="78">
        <f>+F12*1.5</f>
        <v>12.914999999999999</v>
      </c>
      <c r="I12" s="39">
        <f>+Costs!H6/1000000</f>
        <v>3.65</v>
      </c>
      <c r="J12" s="39">
        <f>+I12*0.5</f>
        <v>1.825</v>
      </c>
      <c r="K12" s="35">
        <f>+I12*1.5</f>
        <v>5.4749999999999996</v>
      </c>
      <c r="L12" s="39">
        <f>+F12</f>
        <v>8.61</v>
      </c>
      <c r="M12" s="39">
        <f>+L12*0.5</f>
        <v>4.3049999999999997</v>
      </c>
      <c r="N12" s="35">
        <f>+L12*1.5</f>
        <v>12.914999999999999</v>
      </c>
    </row>
    <row r="13" spans="1:14" ht="24.95" thickBot="1" x14ac:dyDescent="0.6">
      <c r="A13" s="28" t="s">
        <v>56</v>
      </c>
      <c r="B13" s="89" t="str">
        <f t="shared" si="5"/>
        <v>$9
 ($5 - $14)</v>
      </c>
      <c r="C13" s="89" t="str">
        <f>+TEXT(I13,"$#,##0.0") &amp; CHAR(10) &amp; " (" &amp; TEXT(J13,"$#,##0.0") &amp; " - " &amp; TEXT(K13,"$#,##0.0") &amp; ")"</f>
        <v>$0.3
 ($0.2 - $0.5)</v>
      </c>
      <c r="D13" s="89" t="str">
        <f t="shared" si="7"/>
        <v>$9
 ($5 - $14)</v>
      </c>
      <c r="F13" s="78">
        <f>+Costs!K7/1000000</f>
        <v>9.25</v>
      </c>
      <c r="G13" s="79">
        <f>+F13*0.5</f>
        <v>4.625</v>
      </c>
      <c r="H13" s="78">
        <f>+F13*1.5</f>
        <v>13.875</v>
      </c>
      <c r="I13" s="38">
        <f>+Costs!L7/1000000</f>
        <v>0.32</v>
      </c>
      <c r="J13" s="39">
        <f>+I13*0.5</f>
        <v>0.16</v>
      </c>
      <c r="K13" s="35">
        <f>+I13*1.5</f>
        <v>0.48</v>
      </c>
      <c r="L13" s="39">
        <f>+F13</f>
        <v>9.25</v>
      </c>
      <c r="M13" s="39">
        <f>+L13*0.5</f>
        <v>4.625</v>
      </c>
      <c r="N13" s="35">
        <f>+L13*1.5</f>
        <v>13.875</v>
      </c>
    </row>
    <row r="14" spans="1:14" ht="24.95" thickBot="1" x14ac:dyDescent="0.6">
      <c r="A14" s="28" t="s">
        <v>57</v>
      </c>
      <c r="B14" s="89" t="str">
        <f t="shared" si="5"/>
        <v>$188
 ($51 - $324)</v>
      </c>
      <c r="C14" s="89" t="str">
        <f t="shared" si="6"/>
        <v>$135
 ($6 - $264)</v>
      </c>
      <c r="D14" s="89" t="str">
        <f t="shared" si="7"/>
        <v>$179
 ($40 - $318)</v>
      </c>
      <c r="F14" s="35">
        <f>(0.5*G14)+(0.5*H14)</f>
        <v>187.85769052496559</v>
      </c>
      <c r="G14" s="39">
        <f>+'Summary grid use model'!G28*(1+'Transmission cost adjustment'!$C$6)</f>
        <v>51.418544622333535</v>
      </c>
      <c r="H14" s="35">
        <f>+'Summary grid use model'!G29*(1+'Transmission cost adjustment'!$C$6)</f>
        <v>324.29683642759767</v>
      </c>
      <c r="I14" s="35">
        <f>(0.5*J14)+(0.5*K14)</f>
        <v>134.8680862203498</v>
      </c>
      <c r="J14" s="39">
        <f>+'Summary grid use model'!G32*(1+'Transmission cost adjustment'!$C$6)</f>
        <v>6.1701333255031301</v>
      </c>
      <c r="K14" s="36">
        <f>'Summary grid use model'!G33*(1+'Transmission cost adjustment'!$C$6)</f>
        <v>263.56603911519647</v>
      </c>
      <c r="L14" s="35">
        <f>(0.5*M14)+(0.5*N14)</f>
        <v>178.77072508478062</v>
      </c>
      <c r="M14" s="39">
        <f>+G14*(1+'Transmission cost adjustment'!$C$6)</f>
        <v>39.636401286006098</v>
      </c>
      <c r="N14" s="35">
        <f>+'Summary grid use model'!G35*(1+'Transmission cost adjustment'!$C$6)</f>
        <v>317.90504888355514</v>
      </c>
    </row>
    <row r="15" spans="1:14" ht="24.95" thickBot="1" x14ac:dyDescent="0.6">
      <c r="A15" s="28" t="s">
        <v>58</v>
      </c>
      <c r="B15" s="89" t="str">
        <f t="shared" si="5"/>
        <v>$1
 ($0 - $2)</v>
      </c>
      <c r="C15" s="91" t="s">
        <v>41</v>
      </c>
      <c r="D15" s="89" t="str">
        <f t="shared" si="7"/>
        <v>$1
 ($0 - $2)</v>
      </c>
      <c r="F15" s="61">
        <f>+'Investment efficiencies'!D17/1000000</f>
        <v>0.51301099999999999</v>
      </c>
      <c r="G15" s="60">
        <f>+'Investment efficiencies'!B17/1000000</f>
        <v>1.2599000000000001E-2</v>
      </c>
      <c r="H15" s="38">
        <f>+'Investment efficiencies'!E17/1000000</f>
        <v>1.8764970000000001</v>
      </c>
      <c r="I15" s="92" t="s">
        <v>41</v>
      </c>
      <c r="J15" s="92" t="s">
        <v>41</v>
      </c>
      <c r="K15" s="92" t="s">
        <v>41</v>
      </c>
      <c r="L15" s="60">
        <f>+F15</f>
        <v>0.51301099999999999</v>
      </c>
      <c r="M15" s="60">
        <f t="shared" ref="M15:N15" si="8">+G15</f>
        <v>1.2599000000000001E-2</v>
      </c>
      <c r="N15" s="60">
        <f t="shared" si="8"/>
        <v>1.8764970000000001</v>
      </c>
    </row>
    <row r="16" spans="1:14" ht="14.85" thickBot="1" x14ac:dyDescent="0.6">
      <c r="A16" s="28" t="s">
        <v>211</v>
      </c>
      <c r="B16" s="89" t="str">
        <f>+TEXT(F16,"$#,##0")</f>
        <v>$1</v>
      </c>
      <c r="C16" s="91" t="s">
        <v>41</v>
      </c>
      <c r="D16" s="91" t="s">
        <v>41</v>
      </c>
      <c r="F16" s="61">
        <f>-'[1]Net benefit'!$C$13</f>
        <v>1.0591833825633898</v>
      </c>
      <c r="G16" s="61">
        <f>+F16</f>
        <v>1.0591833825633898</v>
      </c>
      <c r="H16" s="61">
        <f>+G16</f>
        <v>1.0591833825633898</v>
      </c>
      <c r="I16" s="92" t="s">
        <v>41</v>
      </c>
      <c r="J16" s="92" t="s">
        <v>41</v>
      </c>
      <c r="K16" s="92" t="s">
        <v>41</v>
      </c>
      <c r="L16" s="92" t="s">
        <v>41</v>
      </c>
      <c r="M16" s="92" t="s">
        <v>41</v>
      </c>
      <c r="N16" s="92" t="s">
        <v>41</v>
      </c>
    </row>
    <row r="17" spans="1:14" ht="24.95" thickBot="1" x14ac:dyDescent="0.6">
      <c r="A17" s="30" t="s">
        <v>59</v>
      </c>
      <c r="B17" s="89" t="str">
        <f t="shared" si="5"/>
        <v>$215
 ($65 - $366)</v>
      </c>
      <c r="C17" s="89" t="str">
        <f t="shared" si="6"/>
        <v>$144
 ($11 - $278)</v>
      </c>
      <c r="D17" s="89" t="str">
        <f t="shared" si="7"/>
        <v>$205
 ($52 - $358)</v>
      </c>
      <c r="F17" s="49">
        <f>+SUM(F11:F16)</f>
        <v>215.11988490752898</v>
      </c>
      <c r="G17" s="49">
        <f t="shared" ref="G17:N17" si="9">+SUM(G11:G16)</f>
        <v>65.335327004896925</v>
      </c>
      <c r="H17" s="49">
        <f t="shared" si="9"/>
        <v>365.767516810161</v>
      </c>
      <c r="I17" s="49">
        <f t="shared" si="9"/>
        <v>144.34808622034978</v>
      </c>
      <c r="J17" s="49">
        <f t="shared" si="9"/>
        <v>10.91013332550313</v>
      </c>
      <c r="K17" s="49">
        <f t="shared" si="9"/>
        <v>277.7860391151965</v>
      </c>
      <c r="L17" s="49">
        <f t="shared" si="9"/>
        <v>204.97373608478063</v>
      </c>
      <c r="M17" s="49">
        <f t="shared" si="9"/>
        <v>52.494000286006099</v>
      </c>
      <c r="N17" s="49">
        <f t="shared" si="9"/>
        <v>358.31654588355514</v>
      </c>
    </row>
    <row r="18" spans="1:14" ht="14.85" thickBot="1" x14ac:dyDescent="0.6">
      <c r="A18" s="32" t="s">
        <v>60</v>
      </c>
      <c r="B18" s="33"/>
      <c r="C18" s="33"/>
      <c r="D18" s="33"/>
      <c r="F18" s="32"/>
      <c r="G18" s="33"/>
      <c r="H18" s="33"/>
      <c r="I18" s="33"/>
      <c r="J18" s="33"/>
      <c r="K18" s="33"/>
      <c r="L18" s="33"/>
      <c r="M18" s="33"/>
      <c r="N18" s="33"/>
    </row>
    <row r="19" spans="1:14" ht="24.95" thickBot="1" x14ac:dyDescent="0.6">
      <c r="A19" s="30" t="s">
        <v>61</v>
      </c>
      <c r="B19" s="90" t="str">
        <f>+TEXT(F19,"$#,##0") &amp; CHAR(10) &amp; " (" &amp; TEXT(G19,"$#,##0") &amp; " - " &amp; TEXT(H19,"$#,##0") &amp; ")"</f>
        <v>$2,711
 ($201 - $6,383)</v>
      </c>
      <c r="C19" s="90" t="str">
        <f t="shared" ref="C19" si="10">+TEXT(I19,"$#,##0") &amp; CHAR(10) &amp; " (" &amp; TEXT(J19,"$#,##0") &amp; " - " &amp; TEXT(K19,"$#,##0") &amp; ")"</f>
        <v>$1,853
 ($130 - $4,705)</v>
      </c>
      <c r="D19" s="90" t="str">
        <f t="shared" ref="D19" si="11">+TEXT(L19,"$#,##0") &amp; CHAR(10) &amp; " (" &amp; TEXT(M19,"$#,##0") &amp; " - " &amp; TEXT(N19,"$#,##0") &amp; ")"</f>
        <v>$2,729
 ($158 - $6,650)</v>
      </c>
      <c r="F19" s="85">
        <f>+F9-F17</f>
        <v>2711.2400748149339</v>
      </c>
      <c r="G19" s="49">
        <f t="shared" ref="G19:N19" si="12">+G9-G17</f>
        <v>200.80770602258852</v>
      </c>
      <c r="H19" s="49">
        <f t="shared" si="12"/>
        <v>6383.2847953746168</v>
      </c>
      <c r="I19" s="49">
        <f t="shared" si="12"/>
        <v>1852.9085199985609</v>
      </c>
      <c r="J19" s="85">
        <f t="shared" si="12"/>
        <v>130.36815535645152</v>
      </c>
      <c r="K19" s="49">
        <f t="shared" si="12"/>
        <v>4705.192312172484</v>
      </c>
      <c r="L19" s="49">
        <f t="shared" si="12"/>
        <v>2729.257469924225</v>
      </c>
      <c r="M19" s="49">
        <f t="shared" si="12"/>
        <v>158.18274626169037</v>
      </c>
      <c r="N19" s="49">
        <f t="shared" si="12"/>
        <v>6649.6623684203241</v>
      </c>
    </row>
    <row r="21" spans="1:14" x14ac:dyDescent="0.25">
      <c r="F21" s="117"/>
    </row>
    <row r="22" spans="1:14" x14ac:dyDescent="0.25">
      <c r="F22" s="118"/>
    </row>
    <row r="23" spans="1:14" x14ac:dyDescent="0.25">
      <c r="F23" s="11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4"/>
  <sheetViews>
    <sheetView workbookViewId="0"/>
  </sheetViews>
  <sheetFormatPr defaultColWidth="9.140625" defaultRowHeight="12" x14ac:dyDescent="0.2"/>
  <cols>
    <col min="1" max="1" width="9.28515625" style="1" bestFit="1" customWidth="1"/>
    <col min="2" max="2" width="39.42578125" style="1" bestFit="1" customWidth="1"/>
    <col min="3" max="3" width="12.5703125" style="1" bestFit="1" customWidth="1"/>
    <col min="4" max="4" width="15.28515625" style="1" customWidth="1"/>
    <col min="5" max="5" width="18" style="1" customWidth="1"/>
    <col min="6" max="6" width="13.140625" style="1" customWidth="1"/>
    <col min="7" max="7" width="14.42578125" style="1" customWidth="1"/>
    <col min="8" max="8" width="19" style="1" customWidth="1"/>
    <col min="9" max="9" width="18.5703125" style="1" customWidth="1"/>
    <col min="10" max="10" width="14.85546875" style="1" customWidth="1"/>
    <col min="11" max="11" width="15.85546875" style="1" customWidth="1"/>
    <col min="12" max="12" width="16.5703125" style="1" customWidth="1"/>
    <col min="13" max="13" width="13.28515625" style="1" customWidth="1"/>
    <col min="14" max="14" width="14.28515625" style="1" customWidth="1"/>
    <col min="15" max="16384" width="9.140625" style="1"/>
  </cols>
  <sheetData>
    <row r="2" spans="2:15" x14ac:dyDescent="0.2">
      <c r="B2" s="6" t="s">
        <v>155</v>
      </c>
    </row>
    <row r="4" spans="2:15" ht="72" x14ac:dyDescent="0.2">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5" x14ac:dyDescent="0.2">
      <c r="B5" s="1" t="str">
        <f>[3]net_benefits_all!B2</f>
        <v>All</v>
      </c>
      <c r="C5" s="25">
        <f>[3]net_benefits_all!C2</f>
        <v>5353093177.4917803</v>
      </c>
      <c r="D5" s="25">
        <f>[3]net_benefits_all!D2</f>
        <v>1494589188.92222</v>
      </c>
      <c r="E5" s="25">
        <f>[3]net_benefits_all!E2</f>
        <v>344150091.543612</v>
      </c>
      <c r="F5" s="25">
        <f>[3]net_benefits_all!F2</f>
        <v>18729431757.168701</v>
      </c>
      <c r="G5" s="25">
        <f>[3]net_benefits_all!G2</f>
        <v>18874340847.511101</v>
      </c>
      <c r="H5" s="25">
        <f>[3]net_benefits_all!H2</f>
        <v>3492837386.2529202</v>
      </c>
      <c r="I5" s="25">
        <f>[3]net_benefits_all!I2</f>
        <v>3347928297.5853</v>
      </c>
      <c r="J5" s="25">
        <f>[3]net_benefits_all!J2</f>
        <v>-149671892.42619801</v>
      </c>
      <c r="K5" s="25">
        <f>[3]net_benefits_all!K2</f>
        <v>144909090.342399</v>
      </c>
      <c r="L5" s="25">
        <f>[3]net_benefits_all!L2</f>
        <v>-144909088.66761601</v>
      </c>
      <c r="M5" s="25">
        <f>[3]net_benefits_all!M2</f>
        <v>5303524068.7167702</v>
      </c>
      <c r="N5" s="25">
        <f>[3]net_benefits_all!N2</f>
        <v>1445020080.1472001</v>
      </c>
      <c r="O5" s="1" t="str">
        <f>[3]net_benefits_all!O2</f>
        <v>CV</v>
      </c>
    </row>
    <row r="6" spans="2:15" x14ac:dyDescent="0.2">
      <c r="B6" s="1" t="str">
        <f>[3]net_benefits_all!B3</f>
        <v>All_Major_Capex_30_70</v>
      </c>
      <c r="C6" s="25">
        <f>[3]net_benefits_all!C3</f>
        <v>5219308069.7672701</v>
      </c>
      <c r="D6" s="25">
        <f>[3]net_benefits_all!D3</f>
        <v>1652370091.61185</v>
      </c>
      <c r="E6" s="25">
        <f>[3]net_benefits_all!E3</f>
        <v>419153522.30181497</v>
      </c>
      <c r="F6" s="25">
        <f>[3]net_benefits_all!F3</f>
        <v>19312306574.190102</v>
      </c>
      <c r="G6" s="25">
        <f>[3]net_benefits_all!G3</f>
        <v>19774096017.2631</v>
      </c>
      <c r="H6" s="25">
        <f>[3]net_benefits_all!H3</f>
        <v>3716070142.1845498</v>
      </c>
      <c r="I6" s="25">
        <f>[3]net_benefits_all!I3</f>
        <v>3254280700.6408701</v>
      </c>
      <c r="J6" s="25">
        <f>[3]net_benefits_all!J3</f>
        <v>-201525178.96169099</v>
      </c>
      <c r="K6" s="25">
        <f>[3]net_benefits_all!K3</f>
        <v>461789443.07299399</v>
      </c>
      <c r="L6" s="25">
        <f>[3]net_benefits_all!L3</f>
        <v>-461789441.54368103</v>
      </c>
      <c r="M6" s="25">
        <f>[3]net_benefits_all!M3</f>
        <v>5463469169.5001402</v>
      </c>
      <c r="N6" s="25">
        <f>[3]net_benefits_all!N3</f>
        <v>1896531191.3447199</v>
      </c>
      <c r="O6" s="1" t="str">
        <f>[3]net_benefits_all!O3</f>
        <v>CV</v>
      </c>
    </row>
    <row r="7" spans="2:15" x14ac:dyDescent="0.2">
      <c r="B7" s="1" t="str">
        <f>[3]net_benefits_all!B4</f>
        <v>All_major_capex</v>
      </c>
      <c r="C7" s="25">
        <f>[3]net_benefits_all!C4</f>
        <v>5309413713.10818</v>
      </c>
      <c r="D7" s="25">
        <f>[3]net_benefits_all!D4</f>
        <v>1735497812.05616</v>
      </c>
      <c r="E7" s="25">
        <f>[3]net_benefits_all!E4</f>
        <v>420695896.037898</v>
      </c>
      <c r="F7" s="25">
        <f>[3]net_benefits_all!F4</f>
        <v>19312306574.190102</v>
      </c>
      <c r="G7" s="25">
        <f>[3]net_benefits_all!G4</f>
        <v>19680546157.073399</v>
      </c>
      <c r="H7" s="25">
        <f>[3]net_benefits_all!H4</f>
        <v>3716070142.1845498</v>
      </c>
      <c r="I7" s="25">
        <f>[3]net_benefits_all!I4</f>
        <v>3347830560.8305602</v>
      </c>
      <c r="J7" s="25">
        <f>[3]net_benefits_all!J4</f>
        <v>-201521888.36770499</v>
      </c>
      <c r="K7" s="25">
        <f>[3]net_benefits_all!K4</f>
        <v>368239582.88329297</v>
      </c>
      <c r="L7" s="25">
        <f>[3]net_benefits_all!L4</f>
        <v>-368239581.35398901</v>
      </c>
      <c r="M7" s="25">
        <f>[3]net_benefits_all!M4</f>
        <v>5458479288.3212795</v>
      </c>
      <c r="N7" s="25">
        <f>[3]net_benefits_all!N4</f>
        <v>1884563387.2692599</v>
      </c>
      <c r="O7" s="1" t="str">
        <f>[3]net_benefits_all!O4</f>
        <v>CV</v>
      </c>
    </row>
    <row r="8" spans="2:15" x14ac:dyDescent="0.2">
      <c r="B8" s="1" t="str">
        <f>[3]net_benefits_all!B5</f>
        <v>All_major_capex_2024</v>
      </c>
      <c r="C8" s="25">
        <f>[3]net_benefits_all!C5</f>
        <v>4986697783.9142199</v>
      </c>
      <c r="D8" s="25">
        <f>[3]net_benefits_all!D5</f>
        <v>1519631405.91888</v>
      </c>
      <c r="E8" s="25">
        <f>[3]net_benefits_all!E5</f>
        <v>422169544.25417697</v>
      </c>
      <c r="F8" s="25">
        <f>[3]net_benefits_all!F5</f>
        <v>19312306574.190102</v>
      </c>
      <c r="G8" s="25">
        <f>[3]net_benefits_all!G5</f>
        <v>19607362560.787201</v>
      </c>
      <c r="H8" s="25">
        <f>[3]net_benefits_all!H5</f>
        <v>3716070142.1845498</v>
      </c>
      <c r="I8" s="25">
        <f>[3]net_benefits_all!I5</f>
        <v>3421014156.9935398</v>
      </c>
      <c r="J8" s="25">
        <f>[3]net_benefits_all!J5</f>
        <v>-201534806.51679999</v>
      </c>
      <c r="K8" s="25">
        <f>[3]net_benefits_all!K5</f>
        <v>295055986.59709501</v>
      </c>
      <c r="L8" s="25">
        <f>[3]net_benefits_all!L5</f>
        <v>-295055985.19101501</v>
      </c>
      <c r="M8" s="25">
        <f>[3]net_benefits_all!M5</f>
        <v>5061119032.7739401</v>
      </c>
      <c r="N8" s="25">
        <f>[3]net_benefits_all!N5</f>
        <v>1594052654.7786</v>
      </c>
      <c r="O8" s="1" t="str">
        <f>[3]net_benefits_all!O5</f>
        <v>CV</v>
      </c>
    </row>
    <row r="9" spans="2:15" x14ac:dyDescent="0.2">
      <c r="B9" s="1" t="str">
        <f>[3]net_benefits_all!B6</f>
        <v>All_major_capex_alternative</v>
      </c>
      <c r="C9" s="25">
        <f>[3]net_benefits_all!C6</f>
        <v>4197098248.8070598</v>
      </c>
      <c r="D9" s="25">
        <f>[3]net_benefits_all!D6</f>
        <v>1759096179.95943</v>
      </c>
      <c r="E9" s="25">
        <f>[3]net_benefits_all!E6</f>
        <v>341912527.461496</v>
      </c>
      <c r="F9" s="25">
        <f>[3]net_benefits_all!F6</f>
        <v>19312306574.190102</v>
      </c>
      <c r="G9" s="25">
        <f>[3]net_benefits_all!G6</f>
        <v>19312306574.190102</v>
      </c>
      <c r="H9" s="25">
        <f>[3]net_benefits_all!H6</f>
        <v>3716070142.1845498</v>
      </c>
      <c r="I9" s="25">
        <f>[3]net_benefits_all!I6</f>
        <v>3716070142.1845498</v>
      </c>
      <c r="J9" s="25">
        <f>[3]net_benefits_all!J6</f>
        <v>-222436517.734126</v>
      </c>
      <c r="K9" s="25">
        <f>[3]net_benefits_all!K6</f>
        <v>-3.814697265625E-6</v>
      </c>
      <c r="L9" s="25">
        <f>[3]net_benefits_all!L6</f>
        <v>0</v>
      </c>
      <c r="M9" s="25">
        <f>[3]net_benefits_all!M6</f>
        <v>4077622239.07969</v>
      </c>
      <c r="N9" s="25">
        <f>[3]net_benefits_all!N6</f>
        <v>1639620170.2320499</v>
      </c>
      <c r="O9" s="1" t="str">
        <f>[3]net_benefits_all!O6</f>
        <v>CV</v>
      </c>
    </row>
    <row r="10" spans="2:15" x14ac:dyDescent="0.2">
      <c r="B10" s="1" t="str">
        <f>[3]net_benefits_all!B7</f>
        <v>All_major_capex_gen_benefits</v>
      </c>
      <c r="C10" s="25">
        <f>[3]net_benefits_all!C7</f>
        <v>6302231888.1752396</v>
      </c>
      <c r="D10" s="25">
        <f>[3]net_benefits_all!D7</f>
        <v>2232618501.3342199</v>
      </c>
      <c r="E10" s="25">
        <f>[3]net_benefits_all!E7</f>
        <v>446811423.98275799</v>
      </c>
      <c r="F10" s="25">
        <f>[3]net_benefits_all!F7</f>
        <v>19312306574.190102</v>
      </c>
      <c r="G10" s="25">
        <f>[3]net_benefits_all!G7</f>
        <v>19047143635.7281</v>
      </c>
      <c r="H10" s="25">
        <f>[3]net_benefits_all!H7</f>
        <v>3716070142.1845498</v>
      </c>
      <c r="I10" s="25">
        <f>[3]net_benefits_all!I7</f>
        <v>3981233082.17588</v>
      </c>
      <c r="J10" s="25">
        <f>[3]net_benefits_all!J7</f>
        <v>-200569512.18087599</v>
      </c>
      <c r="K10" s="25">
        <f>[3]net_benefits_all!K7</f>
        <v>-265162938.46200901</v>
      </c>
      <c r="L10" s="25">
        <f>[3]net_benefits_all!L7</f>
        <v>265162939.991321</v>
      </c>
      <c r="M10" s="25">
        <f>[3]net_benefits_all!M7</f>
        <v>5790827037.9113503</v>
      </c>
      <c r="N10" s="25">
        <f>[3]net_benefits_all!N7</f>
        <v>1721213651.0703299</v>
      </c>
      <c r="O10" s="1" t="str">
        <f>[3]net_benefits_all!O7</f>
        <v>CV</v>
      </c>
    </row>
    <row r="11" spans="2:15" x14ac:dyDescent="0.2">
      <c r="B11" s="1" t="str">
        <f>[3]net_benefits_all!B8</f>
        <v>All_major_capex_tiwai_off</v>
      </c>
      <c r="C11" s="25">
        <f>[3]net_benefits_all!C8</f>
        <v>3493754591.2530599</v>
      </c>
      <c r="D11" s="25">
        <f>[3]net_benefits_all!D8</f>
        <v>2051674245.04685</v>
      </c>
      <c r="E11" s="25">
        <f>[3]net_benefits_all!E8</f>
        <v>90921778.239960402</v>
      </c>
      <c r="F11" s="25">
        <f>[3]net_benefits_all!F8</f>
        <v>19312306574.190102</v>
      </c>
      <c r="G11" s="25">
        <f>[3]net_benefits_all!G8</f>
        <v>19683706291.797001</v>
      </c>
      <c r="H11" s="25">
        <f>[3]net_benefits_all!H8</f>
        <v>3716070142.1845498</v>
      </c>
      <c r="I11" s="25">
        <f>[3]net_benefits_all!I8</f>
        <v>3344670426.1069999</v>
      </c>
      <c r="J11" s="25">
        <f>[3]net_benefits_all!J8</f>
        <v>-215541670.052598</v>
      </c>
      <c r="K11" s="25">
        <f>[3]net_benefits_all!K8</f>
        <v>371399717.606857</v>
      </c>
      <c r="L11" s="25">
        <f>[3]net_benefits_all!L8</f>
        <v>-371399716.07755101</v>
      </c>
      <c r="M11" s="25">
        <f>[3]net_benefits_all!M8</f>
        <v>3989774200.6725602</v>
      </c>
      <c r="N11" s="25">
        <f>[3]net_benefits_all!N8</f>
        <v>2547693854.4663401</v>
      </c>
      <c r="O11" s="1" t="str">
        <f>[3]net_benefits_all!O8</f>
        <v>CV</v>
      </c>
    </row>
    <row r="12" spans="2:15" x14ac:dyDescent="0.2">
      <c r="B12" s="1" t="str">
        <f>[3]net_benefits_all!B9</f>
        <v>Demand</v>
      </c>
      <c r="C12" s="25">
        <f>[3]net_benefits_all!C9</f>
        <v>1188608077.5512199</v>
      </c>
      <c r="D12" s="25">
        <f>[3]net_benefits_all!D9</f>
        <v>1194560876.1988699</v>
      </c>
      <c r="E12" s="25">
        <f>[3]net_benefits_all!E9</f>
        <v>56544705.125158601</v>
      </c>
      <c r="F12" s="25">
        <f>[3]net_benefits_all!F9</f>
        <v>18729431757.168701</v>
      </c>
      <c r="G12" s="25">
        <f>[3]net_benefits_all!G9</f>
        <v>18964322227.948002</v>
      </c>
      <c r="H12" s="25">
        <f>[3]net_benefits_all!H9</f>
        <v>3492837386.2529202</v>
      </c>
      <c r="I12" s="25">
        <f>[3]net_benefits_all!I9</f>
        <v>3257946916.9700198</v>
      </c>
      <c r="J12" s="25">
        <f>[3]net_benefits_all!J9</f>
        <v>0</v>
      </c>
      <c r="K12" s="25">
        <f>[3]net_benefits_all!K9</f>
        <v>234890470.779304</v>
      </c>
      <c r="L12" s="25">
        <f>[3]net_benefits_all!L9</f>
        <v>-234890469.28290001</v>
      </c>
      <c r="M12" s="25">
        <f>[3]net_benefits_all!M9</f>
        <v>1366953843.2053599</v>
      </c>
      <c r="N12" s="25">
        <f>[3]net_benefits_all!N9</f>
        <v>1372906641.85302</v>
      </c>
      <c r="O12" s="1" t="str">
        <f>[3]net_benefits_all!O9</f>
        <v>CV</v>
      </c>
    </row>
    <row r="13" spans="2:15" x14ac:dyDescent="0.2">
      <c r="B13" s="1" t="str">
        <f>[3]net_benefits_all!B10</f>
        <v>Demand_and_DG_investment</v>
      </c>
      <c r="C13" s="25">
        <f>[3]net_benefits_all!C10</f>
        <v>1258767544.8948901</v>
      </c>
      <c r="D13" s="25">
        <f>[3]net_benefits_all!D10</f>
        <v>1301130670.5283999</v>
      </c>
      <c r="E13" s="25">
        <f>[3]net_benefits_all!E10</f>
        <v>341635226.454853</v>
      </c>
      <c r="F13" s="25">
        <f>[3]net_benefits_all!F10</f>
        <v>18729431757.168701</v>
      </c>
      <c r="G13" s="25">
        <f>[3]net_benefits_all!G10</f>
        <v>18964322227.948002</v>
      </c>
      <c r="H13" s="25">
        <f>[3]net_benefits_all!H10</f>
        <v>3492837386.2529202</v>
      </c>
      <c r="I13" s="25">
        <f>[3]net_benefits_all!I10</f>
        <v>3257946916.9700198</v>
      </c>
      <c r="J13" s="25">
        <f>[3]net_benefits_all!J10</f>
        <v>-200541173.76756099</v>
      </c>
      <c r="K13" s="25">
        <f>[3]net_benefits_all!K10</f>
        <v>234890470.77930799</v>
      </c>
      <c r="L13" s="25">
        <f>[3]net_benefits_all!L10</f>
        <v>-234890469.28290001</v>
      </c>
      <c r="M13" s="25">
        <f>[3]net_benefits_all!M10</f>
        <v>1352563962.9869001</v>
      </c>
      <c r="N13" s="25">
        <f>[3]net_benefits_all!N10</f>
        <v>1394927088.62041</v>
      </c>
      <c r="O13" s="1" t="str">
        <f>[3]net_benefits_all!O10</f>
        <v>CV</v>
      </c>
    </row>
    <row r="14" spans="2:15" x14ac:dyDescent="0.2">
      <c r="B14" s="1" t="str">
        <f>[3]net_benefits_all!B11</f>
        <v>Demand_and_gen_investment</v>
      </c>
      <c r="C14" s="25">
        <f>[3]net_benefits_all!C11</f>
        <v>2121266909.11483</v>
      </c>
      <c r="D14" s="25">
        <f>[3]net_benefits_all!D11</f>
        <v>1238212434.4728701</v>
      </c>
      <c r="E14" s="25">
        <f>[3]net_benefits_all!E11</f>
        <v>117906910.566329</v>
      </c>
      <c r="F14" s="25">
        <f>[3]net_benefits_all!F11</f>
        <v>18729431757.168701</v>
      </c>
      <c r="G14" s="25">
        <f>[3]net_benefits_all!G11</f>
        <v>18944379074.649799</v>
      </c>
      <c r="H14" s="25">
        <f>[3]net_benefits_all!H11</f>
        <v>3492837386.2529202</v>
      </c>
      <c r="I14" s="25">
        <f>[3]net_benefits_all!I11</f>
        <v>3277890070.2682199</v>
      </c>
      <c r="J14" s="25">
        <f>[3]net_benefits_all!J11</f>
        <v>0</v>
      </c>
      <c r="K14" s="25">
        <f>[3]net_benefits_all!K11</f>
        <v>214947317.481098</v>
      </c>
      <c r="L14" s="25">
        <f>[3]net_benefits_all!L11</f>
        <v>-214947315.98469201</v>
      </c>
      <c r="M14" s="25">
        <f>[3]net_benefits_all!M11</f>
        <v>2218307316.0296001</v>
      </c>
      <c r="N14" s="25">
        <f>[3]net_benefits_all!N11</f>
        <v>1335252841.38764</v>
      </c>
      <c r="O14" s="1" t="str">
        <f>[3]net_benefits_all!O11</f>
        <v>CV</v>
      </c>
    </row>
    <row r="15" spans="2:15" x14ac:dyDescent="0.2">
      <c r="B15" s="1" t="str">
        <f>[3]net_benefits_all!B12</f>
        <v>Demand_major_capex</v>
      </c>
      <c r="C15" s="25">
        <f>[3]net_benefits_all!C12</f>
        <v>1322604544.3519399</v>
      </c>
      <c r="D15" s="25">
        <f>[3]net_benefits_all!D12</f>
        <v>1327852402.27176</v>
      </c>
      <c r="E15" s="25">
        <f>[3]net_benefits_all!E12</f>
        <v>66702996.369459502</v>
      </c>
      <c r="F15" s="25">
        <f>[3]net_benefits_all!F12</f>
        <v>19312306574.190102</v>
      </c>
      <c r="G15" s="25">
        <f>[3]net_benefits_all!G12</f>
        <v>19709565977.5578</v>
      </c>
      <c r="H15" s="25">
        <f>[3]net_benefits_all!H12</f>
        <v>3716070142.1845598</v>
      </c>
      <c r="I15" s="25">
        <f>[3]net_benefits_all!I12</f>
        <v>3318810740.34622</v>
      </c>
      <c r="J15" s="25">
        <f>[3]net_benefits_all!J12</f>
        <v>0</v>
      </c>
      <c r="K15" s="25">
        <f>[3]net_benefits_all!K12</f>
        <v>397259403.36764097</v>
      </c>
      <c r="L15" s="25">
        <f>[3]net_benefits_all!L12</f>
        <v>-397259401.838332</v>
      </c>
      <c r="M15" s="25">
        <f>[3]net_benefits_all!M12</f>
        <v>1653160951.3501301</v>
      </c>
      <c r="N15" s="25">
        <f>[3]net_benefits_all!N12</f>
        <v>1658408809.2699399</v>
      </c>
      <c r="O15" s="1" t="str">
        <f>[3]net_benefits_all!O12</f>
        <v>CV</v>
      </c>
    </row>
    <row r="16" spans="2:15" x14ac:dyDescent="0.2">
      <c r="B16" s="1" t="str">
        <f>[3]net_benefits_all!B13</f>
        <v>Demand_no_aob_on_existing</v>
      </c>
      <c r="C16" s="25">
        <f>[3]net_benefits_all!C13</f>
        <v>891029876.83159697</v>
      </c>
      <c r="D16" s="25">
        <f>[3]net_benefits_all!D13</f>
        <v>894566082.01061797</v>
      </c>
      <c r="E16" s="25">
        <f>[3]net_benefits_all!E13</f>
        <v>54260169.575154297</v>
      </c>
      <c r="F16" s="25">
        <f>[3]net_benefits_all!F13</f>
        <v>18729431757.168701</v>
      </c>
      <c r="G16" s="25">
        <f>[3]net_benefits_all!G13</f>
        <v>19530756014.136299</v>
      </c>
      <c r="H16" s="25">
        <f>[3]net_benefits_all!H13</f>
        <v>3492837386.2529202</v>
      </c>
      <c r="I16" s="25">
        <f>[3]net_benefits_all!I13</f>
        <v>2691513129.3309598</v>
      </c>
      <c r="J16" s="25">
        <f>[3]net_benefits_all!J13</f>
        <v>0</v>
      </c>
      <c r="K16" s="25">
        <f>[3]net_benefits_all!K13</f>
        <v>801324256.96758199</v>
      </c>
      <c r="L16" s="25">
        <f>[3]net_benefits_all!L13</f>
        <v>-801324256.92195797</v>
      </c>
      <c r="M16" s="25">
        <f>[3]net_benefits_all!M13</f>
        <v>1638093964.22402</v>
      </c>
      <c r="N16" s="25">
        <f>[3]net_benefits_all!N13</f>
        <v>1641630169.4030399</v>
      </c>
      <c r="O16" s="1" t="str">
        <f>[3]net_benefits_all!O13</f>
        <v>CV</v>
      </c>
    </row>
    <row r="17" spans="2:15" x14ac:dyDescent="0.2">
      <c r="B17" s="1" t="str">
        <f>[3]net_benefits_all!B14</f>
        <v>MWh_Demand_major_capex</v>
      </c>
      <c r="C17" s="25">
        <f>[3]net_benefits_all!C14</f>
        <v>1376685481.3345201</v>
      </c>
      <c r="D17" s="25">
        <f>[3]net_benefits_all!D14</f>
        <v>1376832615.2715199</v>
      </c>
      <c r="E17" s="25">
        <f>[3]net_benefits_all!E14</f>
        <v>8004240.1789675197</v>
      </c>
      <c r="F17" s="25">
        <f>[3]net_benefits_all!F14</f>
        <v>19312306574.190102</v>
      </c>
      <c r="G17" s="25">
        <f>[3]net_benefits_all!G14</f>
        <v>19312306574.190102</v>
      </c>
      <c r="H17" s="25">
        <f>[3]net_benefits_all!H14</f>
        <v>3716070142.1845598</v>
      </c>
      <c r="I17" s="25">
        <f>[3]net_benefits_all!I14</f>
        <v>3716070142.1845598</v>
      </c>
      <c r="J17" s="25">
        <f>[3]net_benefits_all!J14</f>
        <v>0</v>
      </c>
      <c r="K17" s="25">
        <f>[3]net_benefits_all!K14</f>
        <v>0</v>
      </c>
      <c r="L17" s="25">
        <f>[3]net_benefits_all!L14</f>
        <v>-1.4305114746093699E-6</v>
      </c>
      <c r="M17" s="25">
        <f>[3]net_benefits_all!M14</f>
        <v>1368681241.15555</v>
      </c>
      <c r="N17" s="25">
        <f>[3]net_benefits_all!N14</f>
        <v>1368828375.09255</v>
      </c>
      <c r="O17" s="1" t="str">
        <f>[3]net_benefits_all!O14</f>
        <v>CV</v>
      </c>
    </row>
    <row r="18" spans="2:15" x14ac:dyDescent="0.2">
      <c r="B18" s="1" t="str">
        <f>[3]net_benefits_all!B15</f>
        <v>No_AoB_on_existing</v>
      </c>
      <c r="C18" s="25">
        <f>[3]net_benefits_all!C15</f>
        <v>5002982087.7833996</v>
      </c>
      <c r="D18" s="25">
        <f>[3]net_benefits_all!D15</f>
        <v>1432925790.5590301</v>
      </c>
      <c r="E18" s="25">
        <f>[3]net_benefits_all!E15</f>
        <v>412404113.67657</v>
      </c>
      <c r="F18" s="25">
        <f>[3]net_benefits_all!F15</f>
        <v>19312306574.190102</v>
      </c>
      <c r="G18" s="25">
        <f>[3]net_benefits_all!G15</f>
        <v>20245904384.5173</v>
      </c>
      <c r="H18" s="25">
        <f>[3]net_benefits_all!H15</f>
        <v>3716070142.1845498</v>
      </c>
      <c r="I18" s="25">
        <f>[3]net_benefits_all!I15</f>
        <v>2782472331.9359198</v>
      </c>
      <c r="J18" s="25">
        <f>[3]net_benefits_all!J15</f>
        <v>-201566410.30684701</v>
      </c>
      <c r="K18" s="25">
        <f>[3]net_benefits_all!K15</f>
        <v>933597810.32717502</v>
      </c>
      <c r="L18" s="25">
        <f>[3]net_benefits_all!L15</f>
        <v>-933597810.24863303</v>
      </c>
      <c r="M18" s="25">
        <f>[3]net_benefits_all!M15</f>
        <v>5725742194.74086</v>
      </c>
      <c r="N18" s="25">
        <f>[3]net_benefits_all!N15</f>
        <v>2155685897.51648</v>
      </c>
      <c r="O18" s="1" t="str">
        <f>[3]net_benefits_all!O15</f>
        <v>CV</v>
      </c>
    </row>
    <row r="19" spans="2:15" x14ac:dyDescent="0.2">
      <c r="B19" s="1" t="str">
        <f>[3]net_benefits_all!B16</f>
        <v>WUNI</v>
      </c>
      <c r="C19" s="25">
        <f>[3]net_benefits_all!C16</f>
        <v>5772542803.4720497</v>
      </c>
      <c r="D19" s="25">
        <f>[3]net_benefits_all!D16</f>
        <v>1570302220.1145401</v>
      </c>
      <c r="E19" s="25">
        <f>[3]net_benefits_all!E16</f>
        <v>351699546.53679901</v>
      </c>
      <c r="F19" s="25">
        <f>[3]net_benefits_all!F16</f>
        <v>18865344839.741402</v>
      </c>
      <c r="G19" s="25">
        <f>[3]net_benefits_all!G16</f>
        <v>19051512782.0415</v>
      </c>
      <c r="H19" s="25">
        <f>[3]net_benefits_all!H16</f>
        <v>3492837386.2529202</v>
      </c>
      <c r="I19" s="25">
        <f>[3]net_benefits_all!I16</f>
        <v>3279622742.0145402</v>
      </c>
      <c r="J19" s="25">
        <f>[3]net_benefits_all!J16</f>
        <v>-168473524.37330899</v>
      </c>
      <c r="K19" s="25">
        <f>[3]net_benefits_all!K16</f>
        <v>186167942.300098</v>
      </c>
      <c r="L19" s="25">
        <f>[3]net_benefits_all!L16</f>
        <v>-213214644.23837599</v>
      </c>
      <c r="M19" s="25">
        <f>[3]net_benefits_all!M16</f>
        <v>5775484723.6086597</v>
      </c>
      <c r="N19" s="25">
        <f>[3]net_benefits_all!N16</f>
        <v>1573244140.2511499</v>
      </c>
      <c r="O19" s="1" t="str">
        <f>[3]net_benefits_all!O16</f>
        <v>CV</v>
      </c>
    </row>
    <row r="20" spans="2:15" x14ac:dyDescent="0.2">
      <c r="B20" s="1" t="str">
        <f>[3]net_benefits_all!B17</f>
        <v>All</v>
      </c>
      <c r="C20" s="25">
        <f>[3]net_benefits_all!C17</f>
        <v>4575109886.8944397</v>
      </c>
      <c r="D20" s="25">
        <f>[3]net_benefits_all!D17</f>
        <v>135872860.268749</v>
      </c>
      <c r="E20" s="25">
        <f>[3]net_benefits_all!E17</f>
        <v>344150091.543612</v>
      </c>
      <c r="F20" s="25">
        <f>[3]net_benefits_all!F17</f>
        <v>18729431757.168701</v>
      </c>
      <c r="G20" s="25">
        <f>[3]net_benefits_all!G17</f>
        <v>18874340847.511101</v>
      </c>
      <c r="H20" s="25">
        <f>[3]net_benefits_all!H17</f>
        <v>3492837386.2529202</v>
      </c>
      <c r="I20" s="25">
        <f>[3]net_benefits_all!I17</f>
        <v>3347928297.5853</v>
      </c>
      <c r="J20" s="25">
        <f>[3]net_benefits_all!J17</f>
        <v>-149671892.42619801</v>
      </c>
      <c r="K20" s="25">
        <f>[3]net_benefits_all!K17</f>
        <v>144909090.342399</v>
      </c>
      <c r="L20" s="25">
        <f>[3]net_benefits_all!L17</f>
        <v>-144909088.66761601</v>
      </c>
      <c r="M20" s="25">
        <f>[3]net_benefits_all!M17</f>
        <v>4525540778.1194201</v>
      </c>
      <c r="N20" s="25">
        <f>[3]net_benefits_all!N17</f>
        <v>86303751.493734896</v>
      </c>
      <c r="O20" s="1" t="str">
        <f>[3]net_benefits_all!O17</f>
        <v>CS</v>
      </c>
    </row>
    <row r="21" spans="2:15" x14ac:dyDescent="0.2">
      <c r="B21" s="1" t="str">
        <f>[3]net_benefits_all!B18</f>
        <v>All_Major_Capex_30_70</v>
      </c>
      <c r="C21" s="83">
        <f>[3]net_benefits_all!C18</f>
        <v>4276518280.68297</v>
      </c>
      <c r="D21" s="83">
        <f>[3]net_benefits_all!D18</f>
        <v>-42671190.8021653</v>
      </c>
      <c r="E21" s="83">
        <f>[3]net_benefits_all!E18</f>
        <v>419153522.30181497</v>
      </c>
      <c r="F21" s="83">
        <f>[3]net_benefits_all!F18</f>
        <v>19312306574.190102</v>
      </c>
      <c r="G21" s="83">
        <f>[3]net_benefits_all!G18</f>
        <v>19774096017.2631</v>
      </c>
      <c r="H21" s="83">
        <f>[3]net_benefits_all!H18</f>
        <v>3716070142.1845498</v>
      </c>
      <c r="I21" s="83">
        <f>[3]net_benefits_all!I18</f>
        <v>3254280700.6408701</v>
      </c>
      <c r="J21" s="83">
        <f>[3]net_benefits_all!J18</f>
        <v>-201525178.96169099</v>
      </c>
      <c r="K21" s="83">
        <f>[3]net_benefits_all!K18</f>
        <v>461789443.07299399</v>
      </c>
      <c r="L21" s="83">
        <f>[3]net_benefits_all!L18</f>
        <v>-461789441.54368103</v>
      </c>
      <c r="M21" s="83">
        <f>[3]net_benefits_all!M18</f>
        <v>4520679380.4158401</v>
      </c>
      <c r="N21" s="83">
        <f>[3]net_benefits_all!N18</f>
        <v>201489908.930704</v>
      </c>
      <c r="O21" s="5" t="str">
        <f>[3]net_benefits_all!O18</f>
        <v>CS</v>
      </c>
    </row>
    <row r="22" spans="2:15" x14ac:dyDescent="0.2">
      <c r="B22" s="1" t="str">
        <f>[3]net_benefits_all!B19</f>
        <v>All_major_capex</v>
      </c>
      <c r="C22" s="83">
        <f>[3]net_benefits_all!C19</f>
        <v>4370251614.5323095</v>
      </c>
      <c r="D22" s="83">
        <f>[3]net_benefits_all!D19</f>
        <v>50787566.160272203</v>
      </c>
      <c r="E22" s="83">
        <f>[3]net_benefits_all!E19</f>
        <v>420695896.037898</v>
      </c>
      <c r="F22" s="83">
        <f>[3]net_benefits_all!F19</f>
        <v>19312306574.190102</v>
      </c>
      <c r="G22" s="83">
        <f>[3]net_benefits_all!G19</f>
        <v>19680546157.073399</v>
      </c>
      <c r="H22" s="83">
        <f>[3]net_benefits_all!H19</f>
        <v>3716070142.1845498</v>
      </c>
      <c r="I22" s="83">
        <f>[3]net_benefits_all!I19</f>
        <v>3347830560.8305602</v>
      </c>
      <c r="J22" s="83">
        <f>[3]net_benefits_all!J19</f>
        <v>-201521888.36770499</v>
      </c>
      <c r="K22" s="83">
        <f>[3]net_benefits_all!K19</f>
        <v>368239582.88329297</v>
      </c>
      <c r="L22" s="83">
        <f>[3]net_benefits_all!L19</f>
        <v>-368239581.35398901</v>
      </c>
      <c r="M22" s="83">
        <f>[3]net_benefits_all!M19</f>
        <v>4519317189.74541</v>
      </c>
      <c r="N22" s="83">
        <f>[3]net_benefits_all!N19</f>
        <v>199853141.373373</v>
      </c>
      <c r="O22" s="5" t="str">
        <f>[3]net_benefits_all!O19</f>
        <v>CS</v>
      </c>
    </row>
    <row r="23" spans="2:15" x14ac:dyDescent="0.2">
      <c r="B23" s="1" t="str">
        <f>[3]net_benefits_all!B20</f>
        <v>All_major_capex_2024</v>
      </c>
      <c r="C23" s="83">
        <f>[3]net_benefits_all!C20</f>
        <v>4531831988.8692999</v>
      </c>
      <c r="D23" s="83">
        <f>[3]net_benefits_all!D20</f>
        <v>116309201.43552899</v>
      </c>
      <c r="E23" s="83">
        <f>[3]net_benefits_all!E20</f>
        <v>422169544.25417697</v>
      </c>
      <c r="F23" s="83">
        <f>[3]net_benefits_all!F20</f>
        <v>19312306574.190102</v>
      </c>
      <c r="G23" s="83">
        <f>[3]net_benefits_all!G20</f>
        <v>19607362560.787201</v>
      </c>
      <c r="H23" s="83">
        <f>[3]net_benefits_all!H20</f>
        <v>3716070142.1845498</v>
      </c>
      <c r="I23" s="83">
        <f>[3]net_benefits_all!I20</f>
        <v>3421014156.9935398</v>
      </c>
      <c r="J23" s="83">
        <f>[3]net_benefits_all!J20</f>
        <v>-201534806.51679999</v>
      </c>
      <c r="K23" s="83">
        <f>[3]net_benefits_all!K20</f>
        <v>295055986.59709501</v>
      </c>
      <c r="L23" s="83">
        <f>[3]net_benefits_all!L20</f>
        <v>-295055985.19101501</v>
      </c>
      <c r="M23" s="83">
        <f>[3]net_benefits_all!M20</f>
        <v>4606253237.7290201</v>
      </c>
      <c r="N23" s="83">
        <f>[3]net_benefits_all!N20</f>
        <v>190730450.29524699</v>
      </c>
      <c r="O23" s="5" t="str">
        <f>[3]net_benefits_all!O20</f>
        <v>CS</v>
      </c>
    </row>
    <row r="24" spans="2:15" x14ac:dyDescent="0.2">
      <c r="B24" s="1" t="str">
        <f>[3]net_benefits_all!B21</f>
        <v>All_major_capex_alternative</v>
      </c>
      <c r="C24" s="83">
        <f>[3]net_benefits_all!C21</f>
        <v>3229070385.2378201</v>
      </c>
      <c r="D24" s="83">
        <f>[3]net_benefits_all!D21</f>
        <v>320569791.73175699</v>
      </c>
      <c r="E24" s="83">
        <f>[3]net_benefits_all!E21</f>
        <v>341912527.461496</v>
      </c>
      <c r="F24" s="83">
        <f>[3]net_benefits_all!F21</f>
        <v>19312306574.190102</v>
      </c>
      <c r="G24" s="83">
        <f>[3]net_benefits_all!G21</f>
        <v>19312306574.190102</v>
      </c>
      <c r="H24" s="83">
        <f>[3]net_benefits_all!H21</f>
        <v>3716070142.1845498</v>
      </c>
      <c r="I24" s="83">
        <f>[3]net_benefits_all!I21</f>
        <v>3716070142.1845498</v>
      </c>
      <c r="J24" s="83">
        <f>[3]net_benefits_all!J21</f>
        <v>-222436517.734126</v>
      </c>
      <c r="K24" s="83">
        <f>[3]net_benefits_all!K21</f>
        <v>-3.814697265625E-6</v>
      </c>
      <c r="L24" s="83">
        <f>[3]net_benefits_all!L21</f>
        <v>0</v>
      </c>
      <c r="M24" s="83">
        <f>[3]net_benefits_all!M21</f>
        <v>3109594375.5104499</v>
      </c>
      <c r="N24" s="83">
        <f>[3]net_benefits_all!N21</f>
        <v>201093782.004383</v>
      </c>
      <c r="O24" s="5" t="str">
        <f>[3]net_benefits_all!O21</f>
        <v>CS</v>
      </c>
    </row>
    <row r="25" spans="2:15" x14ac:dyDescent="0.2">
      <c r="B25" s="1" t="str">
        <f>[3]net_benefits_all!B22</f>
        <v>All_major_capex_gen_benefits</v>
      </c>
      <c r="C25" s="83">
        <f>[3]net_benefits_all!C22</f>
        <v>5531449898.5167799</v>
      </c>
      <c r="D25" s="83">
        <f>[3]net_benefits_all!D22</f>
        <v>707557599.34013605</v>
      </c>
      <c r="E25" s="83">
        <f>[3]net_benefits_all!E22</f>
        <v>446811423.98275799</v>
      </c>
      <c r="F25" s="83">
        <f>[3]net_benefits_all!F22</f>
        <v>19312306574.190102</v>
      </c>
      <c r="G25" s="83">
        <f>[3]net_benefits_all!G22</f>
        <v>19047143635.7281</v>
      </c>
      <c r="H25" s="83">
        <f>[3]net_benefits_all!H22</f>
        <v>3716070142.1845498</v>
      </c>
      <c r="I25" s="83">
        <f>[3]net_benefits_all!I22</f>
        <v>3981233082.17588</v>
      </c>
      <c r="J25" s="83">
        <f>[3]net_benefits_all!J22</f>
        <v>-200569512.18087599</v>
      </c>
      <c r="K25" s="83">
        <f>[3]net_benefits_all!K22</f>
        <v>-265162938.46200901</v>
      </c>
      <c r="L25" s="83">
        <f>[3]net_benefits_all!L22</f>
        <v>265162939.991321</v>
      </c>
      <c r="M25" s="83">
        <f>[3]net_benefits_all!M22</f>
        <v>5020045048.2528896</v>
      </c>
      <c r="N25" s="83">
        <f>[3]net_benefits_all!N22</f>
        <v>196152749.07624501</v>
      </c>
      <c r="O25" s="5" t="str">
        <f>[3]net_benefits_all!O22</f>
        <v>CS</v>
      </c>
    </row>
    <row r="26" spans="2:15" x14ac:dyDescent="0.2">
      <c r="B26" s="1" t="str">
        <f>[3]net_benefits_all!B23</f>
        <v>All_major_capex_tiwai_off</v>
      </c>
      <c r="C26" s="83">
        <f>[3]net_benefits_all!C23</f>
        <v>2216717880.04496</v>
      </c>
      <c r="D26" s="83">
        <f>[3]net_benefits_all!D23</f>
        <v>82957513.079116702</v>
      </c>
      <c r="E26" s="83">
        <f>[3]net_benefits_all!E23</f>
        <v>90921778.239960402</v>
      </c>
      <c r="F26" s="83">
        <f>[3]net_benefits_all!F23</f>
        <v>19312306574.190102</v>
      </c>
      <c r="G26" s="83">
        <f>[3]net_benefits_all!G23</f>
        <v>19683706291.797001</v>
      </c>
      <c r="H26" s="83">
        <f>[3]net_benefits_all!H23</f>
        <v>3716070142.1845498</v>
      </c>
      <c r="I26" s="83">
        <f>[3]net_benefits_all!I23</f>
        <v>3344670426.1069999</v>
      </c>
      <c r="J26" s="83">
        <f>[3]net_benefits_all!J23</f>
        <v>-215541670.052598</v>
      </c>
      <c r="K26" s="83">
        <f>[3]net_benefits_all!K23</f>
        <v>371399717.606857</v>
      </c>
      <c r="L26" s="83">
        <f>[3]net_benefits_all!L23</f>
        <v>-371399716.07755101</v>
      </c>
      <c r="M26" s="83">
        <f>[3]net_benefits_all!M23</f>
        <v>2712737489.4644599</v>
      </c>
      <c r="N26" s="83">
        <f>[3]net_benefits_all!N23</f>
        <v>578977122.49861205</v>
      </c>
      <c r="O26" s="5" t="str">
        <f>[3]net_benefits_all!O23</f>
        <v>CS</v>
      </c>
    </row>
    <row r="27" spans="2:15" x14ac:dyDescent="0.2">
      <c r="B27" s="1" t="str">
        <f>[3]net_benefits_all!B24</f>
        <v>Demand</v>
      </c>
      <c r="C27" s="83">
        <f>[3]net_benefits_all!C24</f>
        <v>-198535834.47930101</v>
      </c>
      <c r="D27" s="83">
        <f>[3]net_benefits_all!D24</f>
        <v>-200535370.02986199</v>
      </c>
      <c r="E27" s="83">
        <f>[3]net_benefits_all!E24</f>
        <v>56544705.125158601</v>
      </c>
      <c r="F27" s="83">
        <f>[3]net_benefits_all!F24</f>
        <v>18729431757.168701</v>
      </c>
      <c r="G27" s="83">
        <f>[3]net_benefits_all!G24</f>
        <v>18964322227.948002</v>
      </c>
      <c r="H27" s="83">
        <f>[3]net_benefits_all!H24</f>
        <v>3492837386.2529202</v>
      </c>
      <c r="I27" s="83">
        <f>[3]net_benefits_all!I24</f>
        <v>3257946916.9700198</v>
      </c>
      <c r="J27" s="83">
        <f>[3]net_benefits_all!J24</f>
        <v>0</v>
      </c>
      <c r="K27" s="83">
        <f>[3]net_benefits_all!K24</f>
        <v>234890470.779304</v>
      </c>
      <c r="L27" s="83">
        <f>[3]net_benefits_all!L24</f>
        <v>-234890469.28290001</v>
      </c>
      <c r="M27" s="83">
        <f>[3]net_benefits_all!M24</f>
        <v>-20190068.825155899</v>
      </c>
      <c r="N27" s="83">
        <f>[3]net_benefits_all!N24</f>
        <v>-22189604.3757165</v>
      </c>
      <c r="O27" s="5" t="str">
        <f>[3]net_benefits_all!O24</f>
        <v>CS</v>
      </c>
    </row>
    <row r="28" spans="2:15" x14ac:dyDescent="0.2">
      <c r="B28" s="1" t="str">
        <f>[3]net_benefits_all!B25</f>
        <v>Demand_and_DG_investment</v>
      </c>
      <c r="C28" s="83">
        <f>[3]net_benefits_all!C25</f>
        <v>19203879.748406801</v>
      </c>
      <c r="D28" s="83">
        <f>[3]net_benefits_all!D25</f>
        <v>23711879.025813799</v>
      </c>
      <c r="E28" s="83">
        <f>[3]net_benefits_all!E25</f>
        <v>341635226.454853</v>
      </c>
      <c r="F28" s="83">
        <f>[3]net_benefits_all!F25</f>
        <v>18729431757.168701</v>
      </c>
      <c r="G28" s="83">
        <f>[3]net_benefits_all!G25</f>
        <v>18964322227.948002</v>
      </c>
      <c r="H28" s="83">
        <f>[3]net_benefits_all!H25</f>
        <v>3492837386.2529202</v>
      </c>
      <c r="I28" s="83">
        <f>[3]net_benefits_all!I25</f>
        <v>3257946916.9700198</v>
      </c>
      <c r="J28" s="83">
        <f>[3]net_benefits_all!J25</f>
        <v>-200541173.76756099</v>
      </c>
      <c r="K28" s="83">
        <f>[3]net_benefits_all!K25</f>
        <v>234890470.77930799</v>
      </c>
      <c r="L28" s="83">
        <f>[3]net_benefits_all!L25</f>
        <v>-234890469.28290001</v>
      </c>
      <c r="M28" s="83">
        <f>[3]net_benefits_all!M25</f>
        <v>113000297.840423</v>
      </c>
      <c r="N28" s="83">
        <f>[3]net_benefits_all!N25</f>
        <v>117508297.11782999</v>
      </c>
      <c r="O28" s="5" t="str">
        <f>[3]net_benefits_all!O25</f>
        <v>CS</v>
      </c>
    </row>
    <row r="29" spans="2:15" x14ac:dyDescent="0.2">
      <c r="B29" s="1" t="str">
        <f>[3]net_benefits_all!B26</f>
        <v>Demand_and_gen_investment</v>
      </c>
      <c r="C29" s="83">
        <f>[3]net_benefits_all!C26</f>
        <v>1190792816.0415201</v>
      </c>
      <c r="D29" s="83">
        <f>[3]net_benefits_all!D26</f>
        <v>-126529691.485009</v>
      </c>
      <c r="E29" s="83">
        <f>[3]net_benefits_all!E26</f>
        <v>117906910.566329</v>
      </c>
      <c r="F29" s="83">
        <f>[3]net_benefits_all!F26</f>
        <v>18729431757.168701</v>
      </c>
      <c r="G29" s="83">
        <f>[3]net_benefits_all!G26</f>
        <v>18944379074.649799</v>
      </c>
      <c r="H29" s="83">
        <f>[3]net_benefits_all!H26</f>
        <v>3492837386.2529202</v>
      </c>
      <c r="I29" s="83">
        <f>[3]net_benefits_all!I26</f>
        <v>3277890070.2682199</v>
      </c>
      <c r="J29" s="83">
        <f>[3]net_benefits_all!J26</f>
        <v>0</v>
      </c>
      <c r="K29" s="83">
        <f>[3]net_benefits_all!K26</f>
        <v>214947317.481098</v>
      </c>
      <c r="L29" s="83">
        <f>[3]net_benefits_all!L26</f>
        <v>-214947315.98469201</v>
      </c>
      <c r="M29" s="83">
        <f>[3]net_benefits_all!M26</f>
        <v>1287833222.95629</v>
      </c>
      <c r="N29" s="83">
        <f>[3]net_benefits_all!N26</f>
        <v>-29489284.570240501</v>
      </c>
      <c r="O29" s="5" t="str">
        <f>[3]net_benefits_all!O26</f>
        <v>CS</v>
      </c>
    </row>
    <row r="30" spans="2:15" x14ac:dyDescent="0.2">
      <c r="B30" s="1" t="str">
        <f>[3]net_benefits_all!B27</f>
        <v>Demand_major_capex</v>
      </c>
      <c r="C30" s="83">
        <f>[3]net_benefits_all!C27</f>
        <v>-312110588.85889101</v>
      </c>
      <c r="D30" s="83">
        <f>[3]net_benefits_all!D27</f>
        <v>-316245981.59732002</v>
      </c>
      <c r="E30" s="83">
        <f>[3]net_benefits_all!E27</f>
        <v>66702996.369459502</v>
      </c>
      <c r="F30" s="83">
        <f>[3]net_benefits_all!F27</f>
        <v>19312306574.190102</v>
      </c>
      <c r="G30" s="83">
        <f>[3]net_benefits_all!G27</f>
        <v>19709565977.5578</v>
      </c>
      <c r="H30" s="83">
        <f>[3]net_benefits_all!H27</f>
        <v>3716070142.1845598</v>
      </c>
      <c r="I30" s="83">
        <f>[3]net_benefits_all!I27</f>
        <v>3318810740.34622</v>
      </c>
      <c r="J30" s="83">
        <f>[3]net_benefits_all!J27</f>
        <v>0</v>
      </c>
      <c r="K30" s="83">
        <f>[3]net_benefits_all!K27</f>
        <v>397259403.36764097</v>
      </c>
      <c r="L30" s="83">
        <f>[3]net_benefits_all!L27</f>
        <v>-397259401.838332</v>
      </c>
      <c r="M30" s="83">
        <f>[3]net_benefits_all!M27</f>
        <v>18445818.139290601</v>
      </c>
      <c r="N30" s="83">
        <f>[3]net_benefits_all!N27</f>
        <v>14310425.4008616</v>
      </c>
      <c r="O30" s="5" t="str">
        <f>[3]net_benefits_all!O27</f>
        <v>CS</v>
      </c>
    </row>
    <row r="31" spans="2:15" x14ac:dyDescent="0.2">
      <c r="B31" s="5" t="str">
        <f>[3]net_benefits_all!B28</f>
        <v>Demand_no_aob_on_existing</v>
      </c>
      <c r="C31" s="83">
        <f>[3]net_benefits_all!C28</f>
        <v>-768575478.22665298</v>
      </c>
      <c r="D31" s="83">
        <f>[3]net_benefits_all!D28</f>
        <v>-775777121.67704999</v>
      </c>
      <c r="E31" s="83">
        <f>[3]net_benefits_all!E28</f>
        <v>54260169.575154297</v>
      </c>
      <c r="F31" s="83">
        <f>[3]net_benefits_all!F28</f>
        <v>18729431757.168701</v>
      </c>
      <c r="G31" s="83">
        <f>[3]net_benefits_all!G28</f>
        <v>19530756014.136299</v>
      </c>
      <c r="H31" s="83">
        <f>[3]net_benefits_all!H28</f>
        <v>3492837386.2529202</v>
      </c>
      <c r="I31" s="83">
        <f>[3]net_benefits_all!I28</f>
        <v>2691513129.3309598</v>
      </c>
      <c r="J31" s="83">
        <f>[3]net_benefits_all!J28</f>
        <v>0</v>
      </c>
      <c r="K31" s="83">
        <f>[3]net_benefits_all!K28</f>
        <v>801324256.96758199</v>
      </c>
      <c r="L31" s="83">
        <f>[3]net_benefits_all!L28</f>
        <v>-801324256.92195797</v>
      </c>
      <c r="M31" s="83">
        <f>[3]net_benefits_all!M28</f>
        <v>-21511390.834225401</v>
      </c>
      <c r="N31" s="83">
        <f>[3]net_benefits_all!N28</f>
        <v>-28713034.284622401</v>
      </c>
      <c r="O31" s="5" t="str">
        <f>[3]net_benefits_all!O28</f>
        <v>CS</v>
      </c>
    </row>
    <row r="32" spans="2:15" x14ac:dyDescent="0.2">
      <c r="B32" s="5" t="str">
        <f>[3]net_benefits_all!B29</f>
        <v>MWh_Demand_major_capex</v>
      </c>
      <c r="C32" s="83">
        <f>[3]net_benefits_all!C29</f>
        <v>4769750.3784764996</v>
      </c>
      <c r="D32" s="83">
        <f>[3]net_benefits_all!D29</f>
        <v>4052925.3280545501</v>
      </c>
      <c r="E32" s="83">
        <f>[3]net_benefits_all!E29</f>
        <v>8004240.1789675197</v>
      </c>
      <c r="F32" s="83">
        <f>[3]net_benefits_all!F29</f>
        <v>19312306574.190102</v>
      </c>
      <c r="G32" s="83">
        <f>[3]net_benefits_all!G29</f>
        <v>19312306574.190102</v>
      </c>
      <c r="H32" s="83">
        <f>[3]net_benefits_all!H29</f>
        <v>3716070142.1845598</v>
      </c>
      <c r="I32" s="83">
        <f>[3]net_benefits_all!I29</f>
        <v>3716070142.1845598</v>
      </c>
      <c r="J32" s="83">
        <f>[3]net_benefits_all!J29</f>
        <v>0</v>
      </c>
      <c r="K32" s="83">
        <f>[3]net_benefits_all!K29</f>
        <v>0</v>
      </c>
      <c r="L32" s="83">
        <f>[3]net_benefits_all!L29</f>
        <v>-1.4305114746093699E-6</v>
      </c>
      <c r="M32" s="83">
        <f>[3]net_benefits_all!M29</f>
        <v>-3234489.8004910201</v>
      </c>
      <c r="N32" s="83">
        <f>[3]net_benefits_all!N29</f>
        <v>-3951314.8509129598</v>
      </c>
      <c r="O32" s="5" t="str">
        <f>[3]net_benefits_all!O29</f>
        <v>CS</v>
      </c>
    </row>
    <row r="33" spans="2:15" x14ac:dyDescent="0.2">
      <c r="B33" s="5" t="str">
        <f>[3]net_benefits_all!B30</f>
        <v>No_AoB_on_existing</v>
      </c>
      <c r="C33" s="83">
        <f>[3]net_benefits_all!C30</f>
        <v>3832258685.4168501</v>
      </c>
      <c r="D33" s="83">
        <f>[3]net_benefits_all!D30</f>
        <v>-526282510.91723102</v>
      </c>
      <c r="E33" s="83">
        <f>[3]net_benefits_all!E30</f>
        <v>412404113.67657</v>
      </c>
      <c r="F33" s="83">
        <f>[3]net_benefits_all!F30</f>
        <v>19312306574.190102</v>
      </c>
      <c r="G33" s="83">
        <f>[3]net_benefits_all!G30</f>
        <v>20245904384.5173</v>
      </c>
      <c r="H33" s="83">
        <f>[3]net_benefits_all!H30</f>
        <v>3716070142.1845498</v>
      </c>
      <c r="I33" s="83">
        <f>[3]net_benefits_all!I30</f>
        <v>2782472331.9359198</v>
      </c>
      <c r="J33" s="83">
        <f>[3]net_benefits_all!J30</f>
        <v>-201566410.30684701</v>
      </c>
      <c r="K33" s="83">
        <f>[3]net_benefits_all!K30</f>
        <v>933597810.32717502</v>
      </c>
      <c r="L33" s="83">
        <f>[3]net_benefits_all!L30</f>
        <v>-933597810.24863303</v>
      </c>
      <c r="M33" s="83">
        <f>[3]net_benefits_all!M30</f>
        <v>4555018792.3743</v>
      </c>
      <c r="N33" s="83">
        <f>[3]net_benefits_all!N30</f>
        <v>196477596.04022101</v>
      </c>
      <c r="O33" s="5" t="str">
        <f>[3]net_benefits_all!O30</f>
        <v>CS</v>
      </c>
    </row>
    <row r="34" spans="2:15" x14ac:dyDescent="0.2">
      <c r="B34" s="3" t="str">
        <f>[3]net_benefits_all!B31</f>
        <v>WUNI</v>
      </c>
      <c r="C34" s="73">
        <f>[3]net_benefits_all!C31</f>
        <v>4834327550.0255203</v>
      </c>
      <c r="D34" s="73">
        <f>[3]net_benefits_all!D31</f>
        <v>135764836.14491001</v>
      </c>
      <c r="E34" s="73">
        <f>[3]net_benefits_all!E31</f>
        <v>351699546.53679901</v>
      </c>
      <c r="F34" s="73">
        <f>[3]net_benefits_all!F31</f>
        <v>18865344839.741402</v>
      </c>
      <c r="G34" s="73">
        <f>[3]net_benefits_all!G31</f>
        <v>19051512782.0415</v>
      </c>
      <c r="H34" s="73">
        <f>[3]net_benefits_all!H31</f>
        <v>3492837386.2529202</v>
      </c>
      <c r="I34" s="73">
        <f>[3]net_benefits_all!I31</f>
        <v>3279622742.0145402</v>
      </c>
      <c r="J34" s="73">
        <f>[3]net_benefits_all!J31</f>
        <v>-168473524.37330899</v>
      </c>
      <c r="K34" s="73">
        <f>[3]net_benefits_all!K31</f>
        <v>186167942.300098</v>
      </c>
      <c r="L34" s="73">
        <f>[3]net_benefits_all!L31</f>
        <v>-213214644.23837599</v>
      </c>
      <c r="M34" s="73">
        <f>[3]net_benefits_all!M31</f>
        <v>4837269470.1621304</v>
      </c>
      <c r="N34" s="73">
        <f>[3]net_benefits_all!N31</f>
        <v>138706756.281519</v>
      </c>
      <c r="O34" s="3" t="str">
        <f>[3]net_benefits_all!O31</f>
        <v>CS</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
  <sheetViews>
    <sheetView workbookViewId="0"/>
  </sheetViews>
  <sheetFormatPr defaultColWidth="8.85546875" defaultRowHeight="12" x14ac:dyDescent="0.2"/>
  <cols>
    <col min="1" max="1" width="8.85546875" style="1"/>
    <col min="2" max="2" width="15" style="1" customWidth="1"/>
    <col min="3" max="3" width="13.7109375" style="1" customWidth="1"/>
    <col min="4" max="4" width="13.140625" style="1" customWidth="1"/>
    <col min="5" max="5" width="8.85546875" style="1"/>
    <col min="6" max="8" width="23" style="1" customWidth="1"/>
    <col min="9" max="9" width="8.85546875" style="1"/>
    <col min="10" max="10" width="30.7109375" style="1" customWidth="1"/>
    <col min="11" max="11" width="30.140625" style="1" customWidth="1"/>
    <col min="12" max="12" width="25.42578125" style="1" customWidth="1"/>
    <col min="13" max="16384" width="8.85546875" style="1"/>
  </cols>
  <sheetData>
    <row r="1" spans="2:12" ht="12.75" thickBot="1" x14ac:dyDescent="0.25">
      <c r="B1" s="1" t="s">
        <v>54</v>
      </c>
      <c r="C1" s="50"/>
      <c r="D1" s="50"/>
      <c r="F1" s="1" t="s">
        <v>55</v>
      </c>
      <c r="J1" s="1" t="s">
        <v>94</v>
      </c>
    </row>
    <row r="2" spans="2:12" ht="24.75" thickBot="1" x14ac:dyDescent="0.25">
      <c r="B2" s="58" t="s">
        <v>78</v>
      </c>
      <c r="C2" s="52" t="s">
        <v>79</v>
      </c>
      <c r="D2" s="53" t="s">
        <v>80</v>
      </c>
      <c r="F2" s="58" t="s">
        <v>78</v>
      </c>
      <c r="G2" s="52" t="s">
        <v>79</v>
      </c>
      <c r="H2" s="53" t="s">
        <v>80</v>
      </c>
      <c r="J2" s="51" t="s">
        <v>78</v>
      </c>
      <c r="K2" s="52" t="s">
        <v>79</v>
      </c>
      <c r="L2" s="53" t="s">
        <v>80</v>
      </c>
    </row>
    <row r="3" spans="2:12" ht="24.75" thickBot="1" x14ac:dyDescent="0.25">
      <c r="B3" s="54" t="s">
        <v>81</v>
      </c>
      <c r="C3" s="55">
        <f>+ROUND('[4]TPM development cost estimate'!$I$39/10000,0)*10000</f>
        <v>4080000</v>
      </c>
      <c r="D3" s="55">
        <f>+ROUND('[4]TPM development cost estimate'!$D$51/10000,0)*10000</f>
        <v>1950000</v>
      </c>
      <c r="F3" s="54" t="s">
        <v>86</v>
      </c>
      <c r="G3" s="55">
        <f>+ROUND('[4]TPM implmentation cost estimate'!$D$30/10000,0)*10000</f>
        <v>6440000</v>
      </c>
      <c r="H3" s="55">
        <f>+ROUND('[4]TPM implmentation cost estimate'!$D$47/10000,0)*10000</f>
        <v>2150000</v>
      </c>
      <c r="J3" s="54" t="s">
        <v>90</v>
      </c>
      <c r="K3" s="55">
        <f>+ROUND('[4]TPM ongoing cost estimate'!$D$45/10000,0)*10000</f>
        <v>1140000</v>
      </c>
      <c r="L3" s="112">
        <f>+ROUND('[4]TPM ongoing cost estimate'!$E$111/10000,0)*10000</f>
        <v>320000</v>
      </c>
    </row>
    <row r="4" spans="2:12" ht="24.75" thickBot="1" x14ac:dyDescent="0.25">
      <c r="B4" s="54" t="s">
        <v>82</v>
      </c>
      <c r="C4" s="55">
        <f>+ROUND('[4]TPM development cost estimate'!$H$70/10000,0)*10000</f>
        <v>750000</v>
      </c>
      <c r="D4" s="55">
        <f>+ROUND('[4]TPM development cost estimate'!$G$70/10000,0)*10000</f>
        <v>560000</v>
      </c>
      <c r="F4" s="54" t="s">
        <v>87</v>
      </c>
      <c r="G4" s="55">
        <f>+ROUND(SUM('[4]TPM implmentation cost estimate'!$D$61:$F$61)/10000,0)*10000</f>
        <v>670000</v>
      </c>
      <c r="H4" s="55" t="s">
        <v>88</v>
      </c>
      <c r="J4" s="54" t="s">
        <v>91</v>
      </c>
      <c r="K4" s="55">
        <f>+ROUND('[4]TPM ongoing cost estimate'!$D$65/10000,0)*10000</f>
        <v>1970000</v>
      </c>
      <c r="L4" s="113"/>
    </row>
    <row r="5" spans="2:12" ht="24.75" thickBot="1" x14ac:dyDescent="0.25">
      <c r="B5" s="54" t="s">
        <v>83</v>
      </c>
      <c r="C5" s="55">
        <f>+ROUND('[4]TPM development cost estimate'!$G$84/10000,0)*10000</f>
        <v>1500000</v>
      </c>
      <c r="D5" s="55">
        <f>+C5</f>
        <v>1500000</v>
      </c>
      <c r="F5" s="54" t="s">
        <v>84</v>
      </c>
      <c r="G5" s="55">
        <v>1500000</v>
      </c>
      <c r="H5" s="55">
        <v>1500000</v>
      </c>
      <c r="J5" s="54" t="s">
        <v>92</v>
      </c>
      <c r="K5" s="55">
        <f>+ROUND('[4]TPM ongoing cost estimate'!$D$85/10000,0)*10000</f>
        <v>5770000</v>
      </c>
      <c r="L5" s="114"/>
    </row>
    <row r="6" spans="2:12" ht="24.75" thickBot="1" x14ac:dyDescent="0.25">
      <c r="B6" s="54" t="s">
        <v>84</v>
      </c>
      <c r="C6" s="55">
        <v>1500000</v>
      </c>
      <c r="D6" s="55">
        <v>1500000</v>
      </c>
      <c r="F6" s="56" t="s">
        <v>85</v>
      </c>
      <c r="G6" s="57">
        <f>+SUM(G3:G5)</f>
        <v>8610000</v>
      </c>
      <c r="H6" s="57">
        <f>+SUM(H3:H5)</f>
        <v>3650000</v>
      </c>
      <c r="J6" s="54" t="s">
        <v>93</v>
      </c>
      <c r="K6" s="55">
        <f>+ROUND('[4]TPM ongoing cost estimate'!$P$135/10000,0)*10000</f>
        <v>370000</v>
      </c>
      <c r="L6" s="59" t="s">
        <v>89</v>
      </c>
    </row>
    <row r="7" spans="2:12" ht="12.75" thickBot="1" x14ac:dyDescent="0.25">
      <c r="B7" s="56" t="s">
        <v>85</v>
      </c>
      <c r="C7" s="57">
        <f>+SUM(C3:C6)</f>
        <v>7830000</v>
      </c>
      <c r="D7" s="57">
        <f>+SUM(D3:D6)</f>
        <v>5510000</v>
      </c>
      <c r="J7" s="56" t="s">
        <v>85</v>
      </c>
      <c r="K7" s="57">
        <f>+SUM(K3:K6)</f>
        <v>9250000</v>
      </c>
      <c r="L7" s="57">
        <f>+L3</f>
        <v>320000</v>
      </c>
    </row>
    <row r="9" spans="2:12" ht="13.5" x14ac:dyDescent="0.2">
      <c r="B9" s="48"/>
      <c r="J9" s="48"/>
    </row>
  </sheetData>
  <mergeCells count="1">
    <mergeCell ref="L3: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2"/>
  <sheetViews>
    <sheetView workbookViewId="0"/>
  </sheetViews>
  <sheetFormatPr defaultColWidth="8.85546875" defaultRowHeight="12" x14ac:dyDescent="0.2"/>
  <cols>
    <col min="1" max="1" width="1.85546875" style="1" customWidth="1"/>
    <col min="2" max="2" width="33.28515625" style="1" bestFit="1" customWidth="1"/>
    <col min="3" max="3" width="10.42578125" style="1" customWidth="1"/>
    <col min="4" max="4" width="12" style="1" customWidth="1"/>
    <col min="5" max="6" width="11.7109375" style="1" customWidth="1"/>
    <col min="7" max="7" width="17.85546875" style="1" customWidth="1"/>
    <col min="8" max="8" width="13.28515625" style="1" customWidth="1"/>
    <col min="9" max="9" width="22.42578125" style="1" bestFit="1" customWidth="1"/>
    <col min="10" max="10" width="21" style="1" bestFit="1" customWidth="1"/>
    <col min="11" max="22" width="13.28515625" style="1" customWidth="1"/>
    <col min="23" max="16384" width="8.85546875" style="1"/>
  </cols>
  <sheetData>
    <row r="2" spans="2:31" s="6" customFormat="1" x14ac:dyDescent="0.2">
      <c r="F2" s="6" t="s">
        <v>133</v>
      </c>
      <c r="N2" s="6" t="s">
        <v>115</v>
      </c>
      <c r="R2" s="6" t="s">
        <v>139</v>
      </c>
      <c r="AA2" s="6" t="s">
        <v>115</v>
      </c>
      <c r="AE2" s="6" t="s">
        <v>139</v>
      </c>
    </row>
    <row r="3" spans="2:31" x14ac:dyDescent="0.2">
      <c r="F3" s="81"/>
      <c r="G3" s="81" t="s">
        <v>15</v>
      </c>
      <c r="H3" s="81" t="s">
        <v>204</v>
      </c>
      <c r="I3" s="81" t="s">
        <v>112</v>
      </c>
      <c r="J3" s="81" t="s">
        <v>113</v>
      </c>
      <c r="K3" s="81" t="s">
        <v>114</v>
      </c>
      <c r="L3" s="81" t="s">
        <v>110</v>
      </c>
      <c r="M3" s="81" t="s">
        <v>145</v>
      </c>
      <c r="N3" s="81" t="s">
        <v>227</v>
      </c>
      <c r="O3" s="81" t="s">
        <v>117</v>
      </c>
      <c r="P3" s="81" t="s">
        <v>116</v>
      </c>
      <c r="Q3" s="81" t="s">
        <v>212</v>
      </c>
      <c r="R3" s="81"/>
      <c r="S3" s="81"/>
      <c r="T3" s="81" t="s">
        <v>15</v>
      </c>
      <c r="U3" s="81" t="s">
        <v>138</v>
      </c>
      <c r="V3" s="81" t="s">
        <v>112</v>
      </c>
      <c r="W3" s="81" t="s">
        <v>113</v>
      </c>
      <c r="X3" s="81" t="s">
        <v>114</v>
      </c>
      <c r="Y3" s="81" t="s">
        <v>110</v>
      </c>
      <c r="Z3" s="81" t="s">
        <v>145</v>
      </c>
      <c r="AA3" s="81" t="s">
        <v>118</v>
      </c>
      <c r="AB3" s="81" t="s">
        <v>117</v>
      </c>
      <c r="AC3" s="81" t="s">
        <v>116</v>
      </c>
      <c r="AD3" s="81" t="s">
        <v>212</v>
      </c>
      <c r="AE3" s="81"/>
    </row>
    <row r="4" spans="2:31" x14ac:dyDescent="0.2">
      <c r="F4" s="1" t="s">
        <v>137</v>
      </c>
      <c r="G4" s="1">
        <f>0.5*'Summary grid use model'!F8+0.5*'Summary grid use model'!E8</f>
        <v>2210.5195903462909</v>
      </c>
      <c r="H4" s="1">
        <f>+'Summary grid use model'!M8</f>
        <v>368.239582883293</v>
      </c>
      <c r="I4" s="1">
        <f>+G4+H4</f>
        <v>2578.7591732295841</v>
      </c>
      <c r="J4" s="66">
        <f>+'Summary table with ranges'!F5</f>
        <v>201.52188836770497</v>
      </c>
      <c r="K4" s="25">
        <f>+'Summary table with ranges'!F6</f>
        <v>42.930785999999998</v>
      </c>
      <c r="L4" s="25">
        <f>+'Summary table with ranges'!F7</f>
        <v>76.926180775678787</v>
      </c>
      <c r="M4" s="25">
        <f>+'Summary table with ranges'!F8</f>
        <v>26.221931349495001</v>
      </c>
      <c r="N4" s="25">
        <f>+SUM('Summary table with ranges'!F11:F13)</f>
        <v>25.689999999999998</v>
      </c>
      <c r="O4" s="25">
        <f>+'Summary table with ranges'!F14</f>
        <v>187.85769052496559</v>
      </c>
      <c r="P4" s="67">
        <f>+'Summary table with ranges'!F15</f>
        <v>0.51301099999999999</v>
      </c>
      <c r="Q4" s="67">
        <f>+'Summary table with ranges'!F16</f>
        <v>1.0591833825633898</v>
      </c>
      <c r="R4" s="25">
        <f>+SUM(I4:M4)-SUM(N4:Q4)</f>
        <v>2711.2400748149339</v>
      </c>
      <c r="S4" s="1" t="s">
        <v>137</v>
      </c>
      <c r="T4" s="1">
        <f t="shared" ref="T4:AD4" si="0">+G4</f>
        <v>2210.5195903462909</v>
      </c>
      <c r="U4" s="1">
        <f t="shared" si="0"/>
        <v>368.239582883293</v>
      </c>
      <c r="V4" s="1">
        <f t="shared" si="0"/>
        <v>2578.7591732295841</v>
      </c>
      <c r="W4" s="1">
        <f t="shared" si="0"/>
        <v>201.52188836770497</v>
      </c>
      <c r="X4" s="1">
        <f t="shared" si="0"/>
        <v>42.930785999999998</v>
      </c>
      <c r="Y4" s="1">
        <f t="shared" si="0"/>
        <v>76.926180775678787</v>
      </c>
      <c r="Z4" s="25">
        <f t="shared" si="0"/>
        <v>26.221931349495001</v>
      </c>
      <c r="AA4" s="1">
        <f t="shared" si="0"/>
        <v>25.689999999999998</v>
      </c>
      <c r="AB4" s="1">
        <f t="shared" si="0"/>
        <v>187.85769052496559</v>
      </c>
      <c r="AC4" s="1">
        <f t="shared" si="0"/>
        <v>0.51301099999999999</v>
      </c>
      <c r="AD4" s="67">
        <f t="shared" si="0"/>
        <v>1.0591833825633898</v>
      </c>
      <c r="AE4" s="1">
        <f>+SUM(V4:Z4)-SUM(AA4:AD4)</f>
        <v>2711.2400748149339</v>
      </c>
    </row>
    <row r="5" spans="2:31" x14ac:dyDescent="0.2">
      <c r="F5" s="1" t="s">
        <v>63</v>
      </c>
      <c r="G5" s="66">
        <f>+'Summary grid use model'!F7</f>
        <v>-316.24598159732</v>
      </c>
      <c r="H5" s="1">
        <f>+'Summary grid use model'!M7</f>
        <v>397.25940336764097</v>
      </c>
      <c r="I5" s="1">
        <f>+G5+H5</f>
        <v>81.013421770320974</v>
      </c>
      <c r="J5" s="66">
        <f>+'Summary table with ranges'!G5</f>
        <v>137.22536335390009</v>
      </c>
      <c r="K5" s="1">
        <f>+'Summary table with ranges'!G6</f>
        <v>9.0053570000000001</v>
      </c>
      <c r="L5" s="25">
        <f>+'Summary table with ranges'!G7</f>
        <v>29.064702905550693</v>
      </c>
      <c r="M5" s="25">
        <f>+'Summary table with ranges'!G8</f>
        <v>9.834187997713709</v>
      </c>
      <c r="N5" s="66">
        <f>+SUM('Summary table with ranges'!G11:G13)</f>
        <v>12.844999999999999</v>
      </c>
      <c r="O5" s="25">
        <f>'Summary table with ranges'!G14</f>
        <v>51.418544622333535</v>
      </c>
      <c r="P5" s="1">
        <f>+'Summary table with ranges'!H15</f>
        <v>1.8764970000000001</v>
      </c>
      <c r="Q5" s="67">
        <f>+Q4</f>
        <v>1.0591833825633898</v>
      </c>
      <c r="R5" s="25">
        <f t="shared" ref="R5:R6" si="1">+SUM(I5:M5)-SUM(N5:Q5)</f>
        <v>198.94380802258851</v>
      </c>
      <c r="S5" s="1" t="s">
        <v>63</v>
      </c>
      <c r="T5" s="1">
        <f t="shared" ref="T5:Y6" si="2">+G5</f>
        <v>-316.24598159732</v>
      </c>
      <c r="U5" s="1">
        <f t="shared" si="2"/>
        <v>397.25940336764097</v>
      </c>
      <c r="V5" s="1">
        <f t="shared" si="2"/>
        <v>81.013421770320974</v>
      </c>
      <c r="W5" s="1">
        <f t="shared" si="2"/>
        <v>137.22536335390009</v>
      </c>
      <c r="X5" s="1">
        <f t="shared" si="2"/>
        <v>9.0053570000000001</v>
      </c>
      <c r="Y5" s="1">
        <f t="shared" si="2"/>
        <v>29.064702905550693</v>
      </c>
      <c r="Z5" s="25">
        <f t="shared" ref="Z5:Z6" si="3">+M5</f>
        <v>9.834187997713709</v>
      </c>
      <c r="AA5" s="1">
        <f t="shared" ref="AA5:AC6" si="4">+N5</f>
        <v>12.844999999999999</v>
      </c>
      <c r="AB5" s="1">
        <f t="shared" si="4"/>
        <v>51.418544622333535</v>
      </c>
      <c r="AC5" s="1">
        <f t="shared" si="4"/>
        <v>1.8764970000000001</v>
      </c>
      <c r="AD5" s="67">
        <f t="shared" ref="AD5:AD6" si="5">+Q5</f>
        <v>1.0591833825633898</v>
      </c>
      <c r="AE5" s="1">
        <f t="shared" ref="AE5:AE6" si="6">+SUM(V5:Z5)-SUM(AA5:AD5)</f>
        <v>198.94380802258851</v>
      </c>
    </row>
    <row r="6" spans="2:31" x14ac:dyDescent="0.2">
      <c r="F6" s="3" t="s">
        <v>64</v>
      </c>
      <c r="G6" s="3">
        <f>'Summary grid use model'!E29</f>
        <v>5309.4137131081798</v>
      </c>
      <c r="H6" s="3">
        <f>+'Summary grid use model'!M29</f>
        <v>368.239582883293</v>
      </c>
      <c r="I6" s="3">
        <f>+G6+H6</f>
        <v>5677.653295991473</v>
      </c>
      <c r="J6" s="101">
        <f>+'Summary table with ranges'!H5</f>
        <v>785.88010248062483</v>
      </c>
      <c r="K6" s="101">
        <f>+'Summary table with ranges'!H6</f>
        <v>112.438214</v>
      </c>
      <c r="L6" s="73">
        <f>+'Summary table with ranges'!H7</f>
        <v>124.78765864580687</v>
      </c>
      <c r="M6" s="73">
        <f>+'Summary table with ranges'!H8</f>
        <v>48.293041066872902</v>
      </c>
      <c r="N6" s="73">
        <f>+SUM('Summary table with ranges'!H11:H13)</f>
        <v>38.534999999999997</v>
      </c>
      <c r="O6" s="73">
        <f>+'Summary table with ranges'!H14</f>
        <v>324.29683642759767</v>
      </c>
      <c r="P6" s="3">
        <f>+'Summary table with ranges'!H15</f>
        <v>1.8764970000000001</v>
      </c>
      <c r="Q6" s="102">
        <f>+Q5</f>
        <v>1.0591833825633898</v>
      </c>
      <c r="R6" s="73">
        <f t="shared" si="1"/>
        <v>6383.2847953746168</v>
      </c>
      <c r="S6" s="3" t="s">
        <v>64</v>
      </c>
      <c r="T6" s="3">
        <f t="shared" si="2"/>
        <v>5309.4137131081798</v>
      </c>
      <c r="U6" s="3">
        <f t="shared" si="2"/>
        <v>368.239582883293</v>
      </c>
      <c r="V6" s="3">
        <f t="shared" si="2"/>
        <v>5677.653295991473</v>
      </c>
      <c r="W6" s="3">
        <f t="shared" si="2"/>
        <v>785.88010248062483</v>
      </c>
      <c r="X6" s="3">
        <f t="shared" si="2"/>
        <v>112.438214</v>
      </c>
      <c r="Y6" s="3">
        <f t="shared" si="2"/>
        <v>124.78765864580687</v>
      </c>
      <c r="Z6" s="73">
        <f t="shared" si="3"/>
        <v>48.293041066872902</v>
      </c>
      <c r="AA6" s="3">
        <f t="shared" si="4"/>
        <v>38.534999999999997</v>
      </c>
      <c r="AB6" s="3">
        <f t="shared" si="4"/>
        <v>324.29683642759767</v>
      </c>
      <c r="AC6" s="3">
        <f t="shared" si="4"/>
        <v>1.8764970000000001</v>
      </c>
      <c r="AD6" s="102">
        <f t="shared" si="5"/>
        <v>1.0591833825633898</v>
      </c>
      <c r="AE6" s="3">
        <f t="shared" si="6"/>
        <v>6383.2847953746168</v>
      </c>
    </row>
    <row r="8" spans="2:31" x14ac:dyDescent="0.2">
      <c r="B8" s="93" t="s">
        <v>62</v>
      </c>
      <c r="C8" s="94">
        <f>+R4</f>
        <v>2711.2400748149339</v>
      </c>
      <c r="T8" s="1" t="s">
        <v>63</v>
      </c>
    </row>
    <row r="9" spans="2:31" x14ac:dyDescent="0.2">
      <c r="B9" s="5"/>
      <c r="C9" s="104"/>
    </row>
    <row r="10" spans="2:31" x14ac:dyDescent="0.2">
      <c r="B10" s="6" t="s">
        <v>217</v>
      </c>
      <c r="D10" s="68"/>
    </row>
    <row r="11" spans="2:31" x14ac:dyDescent="0.2">
      <c r="B11" s="81"/>
      <c r="C11" s="41" t="s">
        <v>63</v>
      </c>
      <c r="D11" s="95" t="s">
        <v>213</v>
      </c>
      <c r="E11" s="41" t="s">
        <v>64</v>
      </c>
      <c r="G11" s="81" t="s">
        <v>15</v>
      </c>
      <c r="H11" s="81" t="s">
        <v>204</v>
      </c>
      <c r="I11" s="81" t="s">
        <v>112</v>
      </c>
      <c r="J11" s="81" t="s">
        <v>113</v>
      </c>
      <c r="K11" s="81" t="s">
        <v>114</v>
      </c>
      <c r="L11" s="81" t="s">
        <v>110</v>
      </c>
      <c r="M11" s="81" t="s">
        <v>145</v>
      </c>
      <c r="N11" s="81" t="s">
        <v>118</v>
      </c>
      <c r="O11" s="81" t="s">
        <v>117</v>
      </c>
      <c r="P11" s="81" t="s">
        <v>116</v>
      </c>
      <c r="Q11" s="81" t="s">
        <v>212</v>
      </c>
      <c r="R11" s="81"/>
      <c r="S11" s="81"/>
      <c r="T11" s="81" t="s">
        <v>15</v>
      </c>
      <c r="U11" s="81" t="s">
        <v>138</v>
      </c>
      <c r="V11" s="81" t="s">
        <v>112</v>
      </c>
      <c r="W11" s="81" t="s">
        <v>113</v>
      </c>
      <c r="X11" s="81" t="s">
        <v>114</v>
      </c>
      <c r="Y11" s="81" t="s">
        <v>110</v>
      </c>
      <c r="Z11" s="81" t="s">
        <v>145</v>
      </c>
      <c r="AA11" s="81" t="s">
        <v>118</v>
      </c>
      <c r="AB11" s="81" t="s">
        <v>117</v>
      </c>
      <c r="AC11" s="81" t="s">
        <v>116</v>
      </c>
      <c r="AD11" s="81" t="s">
        <v>212</v>
      </c>
      <c r="AE11" s="81"/>
    </row>
    <row r="12" spans="2:31" x14ac:dyDescent="0.2">
      <c r="B12" s="1" t="s">
        <v>119</v>
      </c>
      <c r="C12" s="25">
        <f>+AE12</f>
        <v>304.56101117543983</v>
      </c>
      <c r="D12" s="68">
        <f>+C8</f>
        <v>2711.2400748149339</v>
      </c>
      <c r="E12" s="25">
        <f>+R12</f>
        <v>5995.4242355976148</v>
      </c>
      <c r="G12" s="25">
        <f>0.5*(MAX(Sensitivities!N6:N20)/1000000)+0.5*(MAX(Sensitivities!L6:L20)/1000000)</f>
        <v>5493.644567746408</v>
      </c>
      <c r="H12" s="66">
        <f>+H4</f>
        <v>368.239582883293</v>
      </c>
      <c r="I12" s="25">
        <f>+G12+H12</f>
        <v>5861.8841506297013</v>
      </c>
      <c r="J12" s="25">
        <f t="shared" ref="J12:P12" si="7">+J4</f>
        <v>201.52188836770497</v>
      </c>
      <c r="K12" s="25">
        <f t="shared" si="7"/>
        <v>42.930785999999998</v>
      </c>
      <c r="L12" s="25">
        <f t="shared" si="7"/>
        <v>76.926180775678787</v>
      </c>
      <c r="M12" s="25">
        <f t="shared" si="7"/>
        <v>26.221931349495001</v>
      </c>
      <c r="N12" s="25">
        <f t="shared" si="7"/>
        <v>25.689999999999998</v>
      </c>
      <c r="O12" s="25">
        <f t="shared" si="7"/>
        <v>187.85769052496559</v>
      </c>
      <c r="P12" s="25">
        <f t="shared" si="7"/>
        <v>0.51301099999999999</v>
      </c>
      <c r="Q12" s="25">
        <f>+$Q$6</f>
        <v>1.0591833825633898</v>
      </c>
      <c r="R12" s="25">
        <f>+SUM(I12:M12)-SUM(N12:P12)</f>
        <v>5995.4242355976148</v>
      </c>
      <c r="T12" s="66">
        <f>0.5*(MIN(Sensitivities!N6:N20)/1000000)+0.5*(MIN(Sensitivities!L6:L20)/1000000)</f>
        <v>-196.15947329320301</v>
      </c>
      <c r="U12" s="1">
        <f>+U4</f>
        <v>368.239582883293</v>
      </c>
      <c r="V12" s="1">
        <f>+U12+T12</f>
        <v>172.08010959008999</v>
      </c>
      <c r="W12" s="1">
        <f t="shared" ref="W12:AD12" si="8">+W4</f>
        <v>201.52188836770497</v>
      </c>
      <c r="X12" s="1">
        <f t="shared" si="8"/>
        <v>42.930785999999998</v>
      </c>
      <c r="Y12" s="1">
        <f t="shared" si="8"/>
        <v>76.926180775678787</v>
      </c>
      <c r="Z12" s="25">
        <f t="shared" si="8"/>
        <v>26.221931349495001</v>
      </c>
      <c r="AA12" s="1">
        <f t="shared" si="8"/>
        <v>25.689999999999998</v>
      </c>
      <c r="AB12" s="1">
        <f t="shared" si="8"/>
        <v>187.85769052496559</v>
      </c>
      <c r="AC12" s="1">
        <f t="shared" si="8"/>
        <v>0.51301099999999999</v>
      </c>
      <c r="AD12" s="67">
        <f t="shared" si="8"/>
        <v>1.0591833825633898</v>
      </c>
      <c r="AE12" s="1">
        <f>+SUM(V12:Z12)-SUM(AA12:AD12)</f>
        <v>304.56101117543983</v>
      </c>
    </row>
    <row r="13" spans="2:31" x14ac:dyDescent="0.2">
      <c r="B13" s="1" t="s">
        <v>120</v>
      </c>
      <c r="C13" s="25">
        <f>+AE13</f>
        <v>2602.5756597067402</v>
      </c>
      <c r="D13" s="68">
        <f>+D12</f>
        <v>2711.2400748149339</v>
      </c>
      <c r="E13" s="25">
        <f>+R13</f>
        <v>4591.3032931262223</v>
      </c>
      <c r="G13" s="25">
        <f>0.5*(MAX(Sensitivities!F6:F14)/1000000)+0.5*(MAX(Sensitivities!D6:D14)/1000000)</f>
        <v>4089.523625275016</v>
      </c>
      <c r="H13" s="66">
        <f>+'Summary sensitivities'!H12</f>
        <v>368.239582883293</v>
      </c>
      <c r="I13" s="25">
        <f>+G13+H13</f>
        <v>4457.7632081583088</v>
      </c>
      <c r="J13" s="25">
        <f>+J12</f>
        <v>201.52188836770497</v>
      </c>
      <c r="K13" s="25">
        <f t="shared" ref="K13:L13" si="9">+K12</f>
        <v>42.930785999999998</v>
      </c>
      <c r="L13" s="25">
        <f t="shared" si="9"/>
        <v>76.926180775678787</v>
      </c>
      <c r="M13" s="25">
        <f>+M12</f>
        <v>26.221931349495001</v>
      </c>
      <c r="N13" s="25">
        <f>+N12</f>
        <v>25.689999999999998</v>
      </c>
      <c r="O13" s="25">
        <f>+O12</f>
        <v>187.85769052496559</v>
      </c>
      <c r="P13" s="25">
        <f>+P12</f>
        <v>0.51301099999999999</v>
      </c>
      <c r="Q13" s="25">
        <f t="shared" ref="Q13:Q15" si="10">+$Q$6</f>
        <v>1.0591833825633898</v>
      </c>
      <c r="R13" s="25">
        <f t="shared" ref="R13:R15" si="11">+SUM(I13:M13)-SUM(N13:P13)</f>
        <v>4591.3032931262223</v>
      </c>
      <c r="T13" s="66">
        <f>0.5*(MIN(Sensitivities!F5:F14)/1000000)+0.5*(MIN(Sensitivities!D5:D14)/1000000)</f>
        <v>2101.8551752380972</v>
      </c>
      <c r="U13" s="1">
        <f>+U12</f>
        <v>368.239582883293</v>
      </c>
      <c r="V13" s="1">
        <f>+U13+T13</f>
        <v>2470.0947581213904</v>
      </c>
      <c r="W13" s="1">
        <f t="shared" ref="W13:Z14" si="12">+W12</f>
        <v>201.52188836770497</v>
      </c>
      <c r="X13" s="1">
        <f t="shared" si="12"/>
        <v>42.930785999999998</v>
      </c>
      <c r="Y13" s="1">
        <f t="shared" si="12"/>
        <v>76.926180775678787</v>
      </c>
      <c r="Z13" s="25">
        <f>+Z12</f>
        <v>26.221931349495001</v>
      </c>
      <c r="AA13" s="1">
        <f>+AA12</f>
        <v>25.689999999999998</v>
      </c>
      <c r="AB13" s="1">
        <f>+AB12</f>
        <v>187.85769052496559</v>
      </c>
      <c r="AC13" s="1">
        <f>+AC12</f>
        <v>0.51301099999999999</v>
      </c>
      <c r="AD13" s="67">
        <f>+AD5</f>
        <v>1.0591833825633898</v>
      </c>
      <c r="AE13" s="1">
        <f t="shared" ref="AE13:AE15" si="13">+SUM(V13:Z13)-SUM(AA13:AD13)</f>
        <v>2602.5756597067402</v>
      </c>
    </row>
    <row r="14" spans="2:31" x14ac:dyDescent="0.2">
      <c r="B14" s="1" t="s">
        <v>121</v>
      </c>
      <c r="C14" s="25">
        <f>+AE14</f>
        <v>1303.308816911315</v>
      </c>
      <c r="D14" s="68">
        <f>+D13</f>
        <v>2711.2400748149339</v>
      </c>
      <c r="E14" s="25">
        <f>+R14</f>
        <v>3082.2812793177527</v>
      </c>
      <c r="F14" s="25"/>
      <c r="G14" s="25">
        <f>0.5*(MAX(Sensitivities!F23,Sensitivities!F27,Sensitivities!F31,Sensitivities!F35,Sensitivities!F39)/1000000)+0.5*(MAX(Sensitivities!D23,Sensitivities!D27,Sensitivities!D31,Sensitivities!D35,Sensitivities!D39)/1000000)</f>
        <v>2428.6285721414711</v>
      </c>
      <c r="H14" s="66">
        <f>+H4</f>
        <v>368.239582883293</v>
      </c>
      <c r="I14" s="66">
        <f>+G14+H14</f>
        <v>2796.8681550247638</v>
      </c>
      <c r="J14" s="25">
        <f>+-1*MIN('Battery sensitivities'!D5,'Battery sensitivities'!D9,'Battery sensitivities'!D13,'Battery sensitivities'!D17,'Battery sensitivities'!D21)/1000000</f>
        <v>353.39492769278041</v>
      </c>
      <c r="K14" s="25">
        <f t="shared" ref="K14" si="14">+K13</f>
        <v>42.930785999999998</v>
      </c>
      <c r="L14" s="25">
        <f t="shared" ref="L14:M14" si="15">+L13</f>
        <v>76.926180775678787</v>
      </c>
      <c r="M14" s="25">
        <f t="shared" si="15"/>
        <v>26.221931349495001</v>
      </c>
      <c r="N14" s="25">
        <f t="shared" ref="N14" si="16">+N13</f>
        <v>25.689999999999998</v>
      </c>
      <c r="O14" s="25">
        <f t="shared" ref="O14" si="17">+O13</f>
        <v>187.85769052496559</v>
      </c>
      <c r="P14" s="25">
        <f t="shared" ref="P14" si="18">+P13</f>
        <v>0.51301099999999999</v>
      </c>
      <c r="Q14" s="25">
        <f t="shared" si="10"/>
        <v>1.0591833825633898</v>
      </c>
      <c r="R14" s="25">
        <f t="shared" si="11"/>
        <v>3082.2812793177527</v>
      </c>
      <c r="T14" s="25">
        <f>0.5*(MIN(Sensitivities!F23,Sensitivities!F27,Sensitivities!F31,Sensitivities!F35,Sensitivities!F39)/1000000)+0.5*(MIN(Sensitivities!D23,Sensitivities!D27,Sensitivities!D31,Sensitivities!D35,Sensitivities!D39)/1000000)</f>
        <v>731.88617075649404</v>
      </c>
      <c r="U14" s="1">
        <f>+U13</f>
        <v>368.239582883293</v>
      </c>
      <c r="V14" s="1">
        <f>+U14+T14</f>
        <v>1100.125753639787</v>
      </c>
      <c r="W14" s="1">
        <f>+-1*MAX('Battery sensitivities'!D5,'Battery sensitivities'!D9,'Battery sensitivities'!D13,'Battery sensitivities'!D17,'Battery sensitivities'!D21)/1000000</f>
        <v>272.22405005388333</v>
      </c>
      <c r="X14" s="1">
        <f>+X13</f>
        <v>42.930785999999998</v>
      </c>
      <c r="Y14" s="1">
        <f t="shared" si="12"/>
        <v>76.926180775678787</v>
      </c>
      <c r="Z14" s="25">
        <f t="shared" si="12"/>
        <v>26.221931349495001</v>
      </c>
      <c r="AA14" s="1">
        <f>+AA13</f>
        <v>25.689999999999998</v>
      </c>
      <c r="AB14" s="1">
        <f>+AB13</f>
        <v>187.85769052496559</v>
      </c>
      <c r="AC14" s="1">
        <f>+AC13</f>
        <v>0.51301099999999999</v>
      </c>
      <c r="AD14" s="67">
        <f>+AD6</f>
        <v>1.0591833825633898</v>
      </c>
      <c r="AE14" s="1">
        <f t="shared" si="13"/>
        <v>1303.308816911315</v>
      </c>
    </row>
    <row r="15" spans="2:31" x14ac:dyDescent="0.2">
      <c r="B15" s="3" t="s">
        <v>122</v>
      </c>
      <c r="C15" s="73">
        <f>+AE15</f>
        <v>2677.7084670114714</v>
      </c>
      <c r="D15" s="96">
        <f>+D14</f>
        <v>2711.2400748149339</v>
      </c>
      <c r="E15" s="73">
        <f>+R15</f>
        <v>3380.1438304246644</v>
      </c>
      <c r="F15" s="83"/>
      <c r="G15" s="73">
        <f>0.5*(MAX(Sensitivities!F26:F29)/1000000)+0.5*(MAX(Sensitivities!D26:D29)/1000000)</f>
        <v>2382.1839471987137</v>
      </c>
      <c r="H15" s="101">
        <f>+H5</f>
        <v>397.25940336764097</v>
      </c>
      <c r="I15" s="101">
        <f>+G15+H15</f>
        <v>2779.4433505663546</v>
      </c>
      <c r="J15" s="73">
        <f>+-1*MIN('Battery sensitivities'!D8:D11)/1000000</f>
        <v>668.68228325810139</v>
      </c>
      <c r="K15" s="73">
        <f t="shared" ref="K15" si="19">+K14</f>
        <v>42.930785999999998</v>
      </c>
      <c r="L15" s="73">
        <f t="shared" ref="L15:M15" si="20">+L14</f>
        <v>76.926180775678787</v>
      </c>
      <c r="M15" s="73">
        <f t="shared" si="20"/>
        <v>26.221931349495001</v>
      </c>
      <c r="N15" s="73">
        <f t="shared" ref="N15" si="21">+N14</f>
        <v>25.689999999999998</v>
      </c>
      <c r="O15" s="73">
        <f t="shared" ref="O15" si="22">+O14</f>
        <v>187.85769052496559</v>
      </c>
      <c r="P15" s="73">
        <f t="shared" ref="P15" si="23">+P14</f>
        <v>0.51301099999999999</v>
      </c>
      <c r="Q15" s="73">
        <f t="shared" si="10"/>
        <v>1.0591833825633898</v>
      </c>
      <c r="R15" s="73">
        <f t="shared" si="11"/>
        <v>3380.1438304246644</v>
      </c>
      <c r="S15" s="3"/>
      <c r="T15" s="73">
        <f>0.5*(MIN(Sensitivities!F26:F29)/1000000)+0.5*(MIN(Sensitivities!D26:D29)/1000000)</f>
        <v>2163.074813253736</v>
      </c>
      <c r="U15" s="3">
        <f>+U14</f>
        <v>368.239582883293</v>
      </c>
      <c r="V15" s="3">
        <f>+U15+T15</f>
        <v>2531.3143961370288</v>
      </c>
      <c r="W15" s="3">
        <f>+-1*MAX('Battery sensitivities'!D8:D11)/1000000</f>
        <v>215.43505765679777</v>
      </c>
      <c r="X15" s="3">
        <f>+X14</f>
        <v>42.930785999999998</v>
      </c>
      <c r="Y15" s="3">
        <f t="shared" ref="Y15:Z15" si="24">+Y14</f>
        <v>76.926180775678787</v>
      </c>
      <c r="Z15" s="73">
        <f t="shared" si="24"/>
        <v>26.221931349495001</v>
      </c>
      <c r="AA15" s="3">
        <f t="shared" ref="AA15" si="25">+AA14</f>
        <v>25.689999999999998</v>
      </c>
      <c r="AB15" s="3">
        <f t="shared" ref="AB15" si="26">+AB14</f>
        <v>187.85769052496559</v>
      </c>
      <c r="AC15" s="3">
        <f t="shared" ref="AC15" si="27">+AC14</f>
        <v>0.51301099999999999</v>
      </c>
      <c r="AD15" s="102">
        <f>+AD14</f>
        <v>1.0591833825633898</v>
      </c>
      <c r="AE15" s="3">
        <f t="shared" si="13"/>
        <v>2677.7084670114714</v>
      </c>
    </row>
    <row r="16" spans="2:31" x14ac:dyDescent="0.2">
      <c r="C16" s="25"/>
      <c r="D16" s="68"/>
      <c r="E16" s="25"/>
      <c r="F16" s="25"/>
      <c r="G16" s="25"/>
      <c r="H16" s="66"/>
      <c r="I16" s="66"/>
      <c r="J16" s="25"/>
      <c r="K16" s="25"/>
      <c r="L16" s="25"/>
      <c r="M16" s="25"/>
      <c r="N16" s="25"/>
      <c r="O16" s="25"/>
      <c r="P16" s="25"/>
      <c r="Q16" s="25"/>
      <c r="R16" s="25"/>
      <c r="T16" s="25"/>
      <c r="Z16" s="25"/>
    </row>
    <row r="17" spans="2:26" x14ac:dyDescent="0.2">
      <c r="B17" s="93" t="s">
        <v>146</v>
      </c>
      <c r="C17" s="97">
        <v>0.86299999999999999</v>
      </c>
      <c r="D17" s="68"/>
      <c r="E17" s="25"/>
      <c r="F17" s="25"/>
      <c r="G17" s="25"/>
      <c r="H17" s="66"/>
      <c r="I17" s="66"/>
      <c r="J17" s="25"/>
      <c r="K17" s="25"/>
      <c r="L17" s="25"/>
      <c r="M17" s="25"/>
      <c r="N17" s="25"/>
      <c r="O17" s="25"/>
      <c r="P17" s="25"/>
      <c r="Q17" s="25"/>
      <c r="R17" s="25"/>
      <c r="T17" s="25"/>
      <c r="Z17" s="25"/>
    </row>
    <row r="18" spans="2:26" x14ac:dyDescent="0.2">
      <c r="B18" s="5"/>
      <c r="C18" s="5"/>
      <c r="D18" s="68"/>
      <c r="E18" s="25"/>
      <c r="F18" s="25"/>
      <c r="G18" s="25"/>
      <c r="H18" s="66"/>
      <c r="I18" s="66"/>
      <c r="J18" s="25"/>
      <c r="K18" s="25"/>
      <c r="L18" s="25"/>
      <c r="M18" s="25"/>
      <c r="N18" s="25"/>
      <c r="O18" s="25"/>
      <c r="P18" s="25"/>
      <c r="Q18" s="25"/>
      <c r="R18" s="25"/>
      <c r="T18" s="25"/>
      <c r="Z18" s="25"/>
    </row>
    <row r="19" spans="2:26" x14ac:dyDescent="0.2">
      <c r="B19" s="6" t="s">
        <v>216</v>
      </c>
      <c r="C19" s="25"/>
      <c r="D19" s="68"/>
      <c r="E19" s="25"/>
      <c r="F19" s="25"/>
      <c r="G19" s="25"/>
      <c r="H19" s="66"/>
      <c r="I19" s="66"/>
      <c r="J19" s="25"/>
      <c r="K19" s="25"/>
      <c r="L19" s="25"/>
      <c r="M19" s="25"/>
      <c r="N19" s="25"/>
      <c r="O19" s="25"/>
      <c r="P19" s="25"/>
      <c r="Q19" s="25"/>
      <c r="R19" s="25"/>
    </row>
    <row r="20" spans="2:26" x14ac:dyDescent="0.2">
      <c r="B20" s="6" t="s">
        <v>215</v>
      </c>
      <c r="G20" s="81" t="s">
        <v>15</v>
      </c>
      <c r="H20" s="81" t="s">
        <v>204</v>
      </c>
      <c r="I20" s="81" t="s">
        <v>112</v>
      </c>
      <c r="J20" s="81" t="s">
        <v>113</v>
      </c>
      <c r="K20" s="81" t="s">
        <v>114</v>
      </c>
      <c r="L20" s="81" t="s">
        <v>110</v>
      </c>
      <c r="M20" s="81" t="s">
        <v>145</v>
      </c>
      <c r="N20" s="81" t="s">
        <v>118</v>
      </c>
      <c r="O20" s="81" t="s">
        <v>117</v>
      </c>
      <c r="P20" s="81" t="s">
        <v>116</v>
      </c>
      <c r="Q20" s="81" t="s">
        <v>212</v>
      </c>
      <c r="R20" s="81"/>
    </row>
    <row r="21" spans="2:26" x14ac:dyDescent="0.2">
      <c r="B21" s="99" t="s">
        <v>141</v>
      </c>
      <c r="C21" s="14"/>
      <c r="D21" s="100">
        <f>+R21</f>
        <v>2711.197180192732</v>
      </c>
      <c r="G21" s="66">
        <f>0.5*'Summary grid use model'!F16+0.5*'Summary grid use model'!E16</f>
        <v>2116.9235449404023</v>
      </c>
      <c r="H21" s="66">
        <f>+'Summary grid use model'!M16</f>
        <v>461.789443072994</v>
      </c>
      <c r="I21" s="66">
        <f>+G21+H21</f>
        <v>2578.7129880133962</v>
      </c>
      <c r="J21" s="66">
        <f>-'Summary grid use model'!L16</f>
        <v>201.52517896169098</v>
      </c>
      <c r="K21" s="25">
        <f>+K15</f>
        <v>42.930785999999998</v>
      </c>
      <c r="L21" s="25">
        <f>+L15</f>
        <v>76.926180775678787</v>
      </c>
      <c r="M21" s="25">
        <f>+M15</f>
        <v>26.221931349495001</v>
      </c>
      <c r="N21" s="25">
        <f>+N15</f>
        <v>25.689999999999998</v>
      </c>
      <c r="O21" s="25">
        <f>O12</f>
        <v>187.85769052496559</v>
      </c>
      <c r="P21" s="25">
        <f>+P15</f>
        <v>0.51301099999999999</v>
      </c>
      <c r="Q21" s="25">
        <f t="shared" ref="Q21:Q25" si="28">+$Q$6</f>
        <v>1.0591833825633898</v>
      </c>
      <c r="R21" s="25">
        <f>+SUM(I21:M21)-SUM(N21:Q21)</f>
        <v>2711.197180192732</v>
      </c>
    </row>
    <row r="22" spans="2:26" x14ac:dyDescent="0.2">
      <c r="B22" s="82" t="s">
        <v>140</v>
      </c>
      <c r="C22" s="3"/>
      <c r="D22" s="73">
        <f>+R22</f>
        <v>2985.8693358649698</v>
      </c>
      <c r="G22" s="66">
        <f>0.5*'Summary grid use model'!F17+0.5*'Summary grid use model'!E17</f>
        <v>3119.5037489284582</v>
      </c>
      <c r="H22" s="66">
        <f>+'Summary grid use model'!M17</f>
        <v>-265.16293846200904</v>
      </c>
      <c r="I22" s="66">
        <f>+G22+H22</f>
        <v>2854.3408104664491</v>
      </c>
      <c r="J22" s="66">
        <f>-'Summary grid use model'!L17</f>
        <v>200.56951218087599</v>
      </c>
      <c r="K22" s="25">
        <f>+K21</f>
        <v>42.930785999999998</v>
      </c>
      <c r="L22" s="25">
        <f t="shared" ref="L22" si="29">+L21</f>
        <v>76.926180775678787</v>
      </c>
      <c r="M22" s="25">
        <f>+M21</f>
        <v>26.221931349495001</v>
      </c>
      <c r="N22" s="25">
        <f>+N21</f>
        <v>25.689999999999998</v>
      </c>
      <c r="O22" s="25">
        <f>O21</f>
        <v>187.85769052496559</v>
      </c>
      <c r="P22" s="25">
        <f>+P21</f>
        <v>0.51301099999999999</v>
      </c>
      <c r="Q22" s="25">
        <f t="shared" si="28"/>
        <v>1.0591833825633898</v>
      </c>
      <c r="R22" s="25">
        <f t="shared" ref="R22:R25" si="30">+SUM(I22:M22)-SUM(N22:Q22)</f>
        <v>2985.8693358649698</v>
      </c>
    </row>
    <row r="23" spans="2:26" x14ac:dyDescent="0.2">
      <c r="B23" s="98" t="s">
        <v>214</v>
      </c>
      <c r="D23" s="25"/>
      <c r="G23" s="66"/>
      <c r="H23" s="66"/>
      <c r="I23" s="66"/>
      <c r="J23" s="66"/>
      <c r="K23" s="25"/>
      <c r="L23" s="25"/>
      <c r="M23" s="25"/>
      <c r="N23" s="25"/>
      <c r="O23" s="25"/>
      <c r="P23" s="25"/>
      <c r="Q23" s="25"/>
      <c r="R23" s="25"/>
    </row>
    <row r="24" spans="2:26" x14ac:dyDescent="0.2">
      <c r="B24" s="14" t="s">
        <v>147</v>
      </c>
      <c r="C24" s="14"/>
      <c r="D24" s="100">
        <f>+R24</f>
        <v>1785.5079993184675</v>
      </c>
      <c r="G24" s="66">
        <f>0.5*'Summary grid use model'!F18+0.5*'Summary grid use model'!E18</f>
        <v>1149.8376965620384</v>
      </c>
      <c r="H24" s="66">
        <f>+'Summary grid use model'!M18</f>
        <v>371.399717606857</v>
      </c>
      <c r="I24" s="66">
        <f>+G24+H24</f>
        <v>1521.2374141688954</v>
      </c>
      <c r="J24" s="66">
        <f>-'Summary grid use model'!L18</f>
        <v>215.54167005259799</v>
      </c>
      <c r="K24" s="25">
        <f>+K22</f>
        <v>42.930785999999998</v>
      </c>
      <c r="L24" s="25">
        <f>+L22</f>
        <v>76.926180775678787</v>
      </c>
      <c r="M24" s="25">
        <f t="shared" ref="M24" si="31">+M21</f>
        <v>26.221931349495001</v>
      </c>
      <c r="N24" s="25">
        <f>+N22</f>
        <v>25.689999999999998</v>
      </c>
      <c r="O24" s="66">
        <f>+'Summary grid use model'!G18*(1+'Transmission cost adjustment'!$C$6)</f>
        <v>70.087788645636223</v>
      </c>
      <c r="P24" s="25">
        <f>+P22</f>
        <v>0.51301099999999999</v>
      </c>
      <c r="Q24" s="25">
        <f t="shared" si="28"/>
        <v>1.0591833825633898</v>
      </c>
      <c r="R24" s="25">
        <f t="shared" si="30"/>
        <v>1785.5079993184675</v>
      </c>
    </row>
    <row r="25" spans="2:26" x14ac:dyDescent="0.2">
      <c r="B25" s="3" t="s">
        <v>142</v>
      </c>
      <c r="C25" s="3"/>
      <c r="D25" s="73">
        <f>+R25</f>
        <v>2735.1974049478049</v>
      </c>
      <c r="G25" s="101">
        <f>0.5*'Summary grid use model'!F13+0.5*'Summary grid use model'!E13</f>
        <v>2324.0705951524142</v>
      </c>
      <c r="H25" s="101">
        <f>+'Summary grid use model'!M13</f>
        <v>295.055986597095</v>
      </c>
      <c r="I25" s="101">
        <f>+G25+H25</f>
        <v>2619.1265817495091</v>
      </c>
      <c r="J25" s="101">
        <f>-'Summary grid use model'!L13</f>
        <v>201.53480651679999</v>
      </c>
      <c r="K25" s="101">
        <f>+K24*$C$17</f>
        <v>37.049268317999996</v>
      </c>
      <c r="L25" s="101">
        <f>+L24*$C$17</f>
        <v>66.387294009410795</v>
      </c>
      <c r="M25" s="101">
        <f>+M24*$C$17</f>
        <v>22.629526754614187</v>
      </c>
      <c r="N25" s="101">
        <f>+N24*$C$17</f>
        <v>22.170469999999998</v>
      </c>
      <c r="O25" s="101">
        <f>O21</f>
        <v>187.85769052496559</v>
      </c>
      <c r="P25" s="103">
        <f>+P24*$C$17</f>
        <v>0.442728493</v>
      </c>
      <c r="Q25" s="73">
        <f t="shared" si="28"/>
        <v>1.0591833825633898</v>
      </c>
      <c r="R25" s="73">
        <f t="shared" si="30"/>
        <v>2735.1974049478049</v>
      </c>
    </row>
    <row r="28" spans="2:26" x14ac:dyDescent="0.2">
      <c r="B28" s="41" t="s">
        <v>218</v>
      </c>
      <c r="C28" s="81"/>
      <c r="D28" s="81"/>
    </row>
    <row r="29" spans="2:26" x14ac:dyDescent="0.2">
      <c r="B29" s="1" t="s">
        <v>119</v>
      </c>
      <c r="C29" s="77">
        <f>+C12-D12</f>
        <v>-2406.679063639494</v>
      </c>
      <c r="D29" s="77">
        <f>+E12-D12</f>
        <v>3284.1841607826809</v>
      </c>
    </row>
    <row r="30" spans="2:26" x14ac:dyDescent="0.2">
      <c r="B30" s="1" t="s">
        <v>120</v>
      </c>
      <c r="C30" s="77">
        <f>+C13-D13</f>
        <v>-108.66441510819368</v>
      </c>
      <c r="D30" s="77">
        <f>+E13-D13</f>
        <v>1880.0632183112884</v>
      </c>
    </row>
    <row r="31" spans="2:26" x14ac:dyDescent="0.2">
      <c r="B31" s="1" t="s">
        <v>121</v>
      </c>
      <c r="C31" s="77">
        <f>+C14-D14</f>
        <v>-1407.9312579036189</v>
      </c>
      <c r="D31" s="77">
        <f>+E14-D14</f>
        <v>371.0412045028188</v>
      </c>
    </row>
    <row r="32" spans="2:26" x14ac:dyDescent="0.2">
      <c r="B32" s="3" t="s">
        <v>122</v>
      </c>
      <c r="C32" s="105">
        <f>+C15-D15</f>
        <v>-33.531607803462521</v>
      </c>
      <c r="D32" s="105">
        <f>+E15-D15</f>
        <v>668.90375560973052</v>
      </c>
    </row>
    <row r="34" spans="2:6" x14ac:dyDescent="0.2">
      <c r="B34" s="6" t="s">
        <v>219</v>
      </c>
    </row>
    <row r="35" spans="2:6" x14ac:dyDescent="0.2">
      <c r="B35" s="14" t="s">
        <v>151</v>
      </c>
      <c r="C35" s="100">
        <f>+E12</f>
        <v>5995.4242355976148</v>
      </c>
      <c r="D35" s="100">
        <f>+C12</f>
        <v>304.56101117543983</v>
      </c>
      <c r="E35" s="106">
        <f>+C8</f>
        <v>2711.2400748149339</v>
      </c>
      <c r="F35" s="68"/>
    </row>
    <row r="36" spans="2:6" x14ac:dyDescent="0.2">
      <c r="B36" s="5" t="s">
        <v>150</v>
      </c>
      <c r="C36" s="83">
        <f>+E13</f>
        <v>4591.3032931262223</v>
      </c>
      <c r="D36" s="83">
        <f>+C13</f>
        <v>2602.5756597067402</v>
      </c>
      <c r="E36" s="104">
        <f>+D12</f>
        <v>2711.2400748149339</v>
      </c>
      <c r="F36" s="68"/>
    </row>
    <row r="37" spans="2:6" x14ac:dyDescent="0.2">
      <c r="B37" s="5" t="s">
        <v>148</v>
      </c>
      <c r="C37" s="83">
        <f>+E14</f>
        <v>3082.2812793177527</v>
      </c>
      <c r="D37" s="83">
        <f>+C14</f>
        <v>1303.308816911315</v>
      </c>
      <c r="E37" s="104">
        <f>+D13</f>
        <v>2711.2400748149339</v>
      </c>
      <c r="F37" s="68"/>
    </row>
    <row r="38" spans="2:6" x14ac:dyDescent="0.2">
      <c r="B38" s="5" t="s">
        <v>149</v>
      </c>
      <c r="C38" s="83">
        <f>+E15</f>
        <v>3380.1438304246644</v>
      </c>
      <c r="D38" s="83">
        <f>+C15</f>
        <v>2677.7084670114714</v>
      </c>
      <c r="E38" s="104">
        <f>+D14</f>
        <v>2711.2400748149339</v>
      </c>
      <c r="F38" s="68"/>
    </row>
    <row r="39" spans="2:6" x14ac:dyDescent="0.2">
      <c r="B39" s="107" t="s">
        <v>220</v>
      </c>
      <c r="C39" s="104">
        <f>+C8</f>
        <v>2711.2400748149339</v>
      </c>
      <c r="D39" s="83">
        <f>+D21</f>
        <v>2711.197180192732</v>
      </c>
      <c r="E39" s="104">
        <f>+D15</f>
        <v>2711.2400748149339</v>
      </c>
      <c r="F39" s="68"/>
    </row>
    <row r="40" spans="2:6" x14ac:dyDescent="0.2">
      <c r="B40" s="107" t="s">
        <v>221</v>
      </c>
      <c r="C40" s="104">
        <f>+D12</f>
        <v>2711.2400748149339</v>
      </c>
      <c r="D40" s="83">
        <f>+D22</f>
        <v>2985.8693358649698</v>
      </c>
      <c r="E40" s="5"/>
    </row>
    <row r="41" spans="2:6" x14ac:dyDescent="0.2">
      <c r="B41" s="5" t="s">
        <v>147</v>
      </c>
      <c r="C41" s="104">
        <f>+D13</f>
        <v>2711.2400748149339</v>
      </c>
      <c r="D41" s="83">
        <f t="shared" ref="D41:D42" si="32">+D24</f>
        <v>1785.5079993184675</v>
      </c>
      <c r="E41" s="5"/>
    </row>
    <row r="42" spans="2:6" x14ac:dyDescent="0.2">
      <c r="B42" s="3" t="s">
        <v>142</v>
      </c>
      <c r="C42" s="96">
        <f>+D14</f>
        <v>2711.2400748149339</v>
      </c>
      <c r="D42" s="73">
        <f t="shared" si="32"/>
        <v>2735.1974049478049</v>
      </c>
      <c r="E42" s="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workbookViewId="0"/>
  </sheetViews>
  <sheetFormatPr defaultColWidth="9.140625" defaultRowHeight="12" x14ac:dyDescent="0.2"/>
  <cols>
    <col min="1" max="1" width="9.140625" style="1"/>
    <col min="2" max="2" width="22.28515625" style="1" bestFit="1" customWidth="1"/>
    <col min="3" max="3" width="18.42578125" style="1" bestFit="1" customWidth="1"/>
    <col min="4" max="4" width="23" style="1" bestFit="1" customWidth="1"/>
    <col min="5" max="16384" width="9.140625" style="1"/>
  </cols>
  <sheetData>
    <row r="1" spans="2:4" x14ac:dyDescent="0.2">
      <c r="B1" s="6" t="s">
        <v>175</v>
      </c>
    </row>
    <row r="3" spans="2:4" x14ac:dyDescent="0.2">
      <c r="B3" s="41" t="s">
        <v>95</v>
      </c>
      <c r="C3" s="41" t="s">
        <v>96</v>
      </c>
      <c r="D3" s="41" t="s">
        <v>97</v>
      </c>
    </row>
    <row r="4" spans="2:4" x14ac:dyDescent="0.2">
      <c r="B4" s="1">
        <f>[5]Summary!H4</f>
        <v>0.92</v>
      </c>
      <c r="C4" s="1">
        <f>[5]Summary!I4</f>
        <v>0.25</v>
      </c>
      <c r="D4" s="25">
        <f>[5]Summary!J4</f>
        <v>-227502116.35077643</v>
      </c>
    </row>
    <row r="5" spans="2:4" x14ac:dyDescent="0.2">
      <c r="B5" s="1">
        <f>[5]Summary!H5</f>
        <v>0.92</v>
      </c>
      <c r="C5" s="1">
        <f>[5]Summary!I5</f>
        <v>0.5</v>
      </c>
      <c r="D5" s="25">
        <f>[5]Summary!J5</f>
        <v>-350209994.80988264</v>
      </c>
    </row>
    <row r="6" spans="2:4" x14ac:dyDescent="0.2">
      <c r="B6" s="1">
        <f>[5]Summary!H6</f>
        <v>0.92</v>
      </c>
      <c r="C6" s="1">
        <f>[5]Summary!I6</f>
        <v>1</v>
      </c>
      <c r="D6" s="25">
        <f>[5]Summary!J6</f>
        <v>-524000807.71603841</v>
      </c>
    </row>
    <row r="7" spans="2:4" x14ac:dyDescent="0.2">
      <c r="B7" s="1">
        <f>[5]Summary!H7</f>
        <v>0.92</v>
      </c>
      <c r="C7" s="1">
        <f>[5]Summary!I7</f>
        <v>2</v>
      </c>
      <c r="D7" s="25">
        <f>[5]Summary!J7</f>
        <v>-785880102.48062479</v>
      </c>
    </row>
    <row r="8" spans="2:4" x14ac:dyDescent="0.2">
      <c r="B8" s="1">
        <f>[5]Summary!H8</f>
        <v>0.93</v>
      </c>
      <c r="C8" s="1">
        <f>[5]Summary!I8</f>
        <v>0.25</v>
      </c>
      <c r="D8" s="25">
        <f>[5]Summary!J8</f>
        <v>-215435057.65679777</v>
      </c>
    </row>
    <row r="9" spans="2:4" x14ac:dyDescent="0.2">
      <c r="B9" s="1">
        <f>[5]Summary!H9</f>
        <v>0.93</v>
      </c>
      <c r="C9" s="1">
        <f>[5]Summary!I9</f>
        <v>0.5</v>
      </c>
      <c r="D9" s="25">
        <f>[5]Summary!J9</f>
        <v>-353394927.69278044</v>
      </c>
    </row>
    <row r="10" spans="2:4" x14ac:dyDescent="0.2">
      <c r="B10" s="1">
        <f>[5]Summary!H10</f>
        <v>0.93</v>
      </c>
      <c r="C10" s="1">
        <f>[5]Summary!I10</f>
        <v>1</v>
      </c>
      <c r="D10" s="25">
        <f>[5]Summary!J10</f>
        <v>-485364382.89896488</v>
      </c>
    </row>
    <row r="11" spans="2:4" x14ac:dyDescent="0.2">
      <c r="B11" s="1">
        <f>[5]Summary!H11</f>
        <v>0.93</v>
      </c>
      <c r="C11" s="1">
        <f>[5]Summary!I11</f>
        <v>2</v>
      </c>
      <c r="D11" s="25">
        <f>[5]Summary!J11</f>
        <v>-668682283.25810134</v>
      </c>
    </row>
    <row r="12" spans="2:4" x14ac:dyDescent="0.2">
      <c r="B12" s="1">
        <f>[5]Summary!H12</f>
        <v>0.94</v>
      </c>
      <c r="C12" s="1">
        <f>[5]Summary!I12</f>
        <v>0.25</v>
      </c>
      <c r="D12" s="25">
        <f>[5]Summary!J12</f>
        <v>-211741756.38686779</v>
      </c>
    </row>
    <row r="13" spans="2:4" x14ac:dyDescent="0.2">
      <c r="B13" s="1">
        <f>[5]Summary!H13</f>
        <v>0.94</v>
      </c>
      <c r="C13" s="1">
        <f>[5]Summary!I13</f>
        <v>0.5</v>
      </c>
      <c r="D13" s="25">
        <f>[5]Summary!J13</f>
        <v>-324264396.73177201</v>
      </c>
    </row>
    <row r="14" spans="2:4" x14ac:dyDescent="0.2">
      <c r="B14" s="1">
        <f>[5]Summary!H14</f>
        <v>0.94</v>
      </c>
      <c r="C14" s="1">
        <f>[5]Summary!I14</f>
        <v>1</v>
      </c>
      <c r="D14" s="25">
        <f>[5]Summary!J14</f>
        <v>-462160353.57368666</v>
      </c>
    </row>
    <row r="15" spans="2:4" x14ac:dyDescent="0.2">
      <c r="B15" s="1">
        <f>[5]Summary!H15</f>
        <v>0.94</v>
      </c>
      <c r="C15" s="1">
        <f>[5]Summary!I15</f>
        <v>2</v>
      </c>
      <c r="D15" s="25">
        <f>[5]Summary!J15</f>
        <v>-692996899.80624318</v>
      </c>
    </row>
    <row r="16" spans="2:4" x14ac:dyDescent="0.2">
      <c r="B16" s="1">
        <f>[5]Summary!H16</f>
        <v>0.95</v>
      </c>
      <c r="C16" s="1">
        <f>[5]Summary!I16</f>
        <v>0.25</v>
      </c>
      <c r="D16" s="25">
        <f>[5]Summary!J16</f>
        <v>-185718420.73300472</v>
      </c>
    </row>
    <row r="17" spans="2:4" x14ac:dyDescent="0.2">
      <c r="B17" s="1">
        <f>[5]Summary!H17</f>
        <v>0.95</v>
      </c>
      <c r="C17" s="1">
        <f>[5]Summary!I17</f>
        <v>0.5</v>
      </c>
      <c r="D17" s="25">
        <f>[5]Summary!J17</f>
        <v>-338195085.02129322</v>
      </c>
    </row>
    <row r="18" spans="2:4" x14ac:dyDescent="0.2">
      <c r="B18" s="1">
        <f>[5]Summary!H18</f>
        <v>0.95</v>
      </c>
      <c r="C18" s="1">
        <f>[5]Summary!I18</f>
        <v>1</v>
      </c>
      <c r="D18" s="25">
        <f>[5]Summary!J18</f>
        <v>-465597068.71742696</v>
      </c>
    </row>
    <row r="19" spans="2:4" x14ac:dyDescent="0.2">
      <c r="B19" s="1">
        <f>[5]Summary!H19</f>
        <v>0.95</v>
      </c>
      <c r="C19" s="1">
        <f>[5]Summary!I19</f>
        <v>2</v>
      </c>
      <c r="D19" s="25">
        <f>[5]Summary!J19</f>
        <v>-679398512.07141566</v>
      </c>
    </row>
    <row r="20" spans="2:4" x14ac:dyDescent="0.2">
      <c r="B20" s="1">
        <f>[5]Summary!H20</f>
        <v>0.96</v>
      </c>
      <c r="C20" s="1">
        <f>[5]Summary!I20</f>
        <v>0.25</v>
      </c>
      <c r="D20" s="25">
        <f>[5]Summary!J20</f>
        <v>-137225363.3539001</v>
      </c>
    </row>
    <row r="21" spans="2:4" x14ac:dyDescent="0.2">
      <c r="B21" s="1">
        <f>[5]Summary!H21</f>
        <v>0.96</v>
      </c>
      <c r="C21" s="1">
        <f>[5]Summary!I21</f>
        <v>0.5</v>
      </c>
      <c r="D21" s="25">
        <f>[5]Summary!J21</f>
        <v>-272224050.05388331</v>
      </c>
    </row>
    <row r="22" spans="2:4" x14ac:dyDescent="0.2">
      <c r="B22" s="1">
        <f>[5]Summary!H22</f>
        <v>0.96</v>
      </c>
      <c r="C22" s="1">
        <f>[5]Summary!I22</f>
        <v>1</v>
      </c>
      <c r="D22" s="25">
        <f>[5]Summary!J22</f>
        <v>-432937522.50322306</v>
      </c>
    </row>
    <row r="23" spans="2:4" x14ac:dyDescent="0.2">
      <c r="B23" s="3">
        <f>[5]Summary!H23</f>
        <v>0.96</v>
      </c>
      <c r="C23" s="3">
        <f>[5]Summary!I23</f>
        <v>2</v>
      </c>
      <c r="D23" s="73">
        <f>[5]Summary!J23</f>
        <v>-634374893.58457386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B1" workbookViewId="0">
      <selection activeCell="B1" sqref="B1"/>
    </sheetView>
  </sheetViews>
  <sheetFormatPr defaultColWidth="9.140625" defaultRowHeight="12" x14ac:dyDescent="0.2"/>
  <cols>
    <col min="1" max="1" width="10.7109375" style="1" bestFit="1" customWidth="1"/>
    <col min="2" max="2" width="12.140625" style="1" bestFit="1" customWidth="1"/>
    <col min="3" max="3" width="14.85546875" style="1" customWidth="1"/>
    <col min="4" max="4" width="27.140625" style="1" bestFit="1" customWidth="1"/>
    <col min="5" max="5" width="22.42578125" style="1" bestFit="1" customWidth="1"/>
    <col min="6" max="6" width="28.42578125" style="1" customWidth="1"/>
    <col min="7" max="7" width="27.140625" style="1" customWidth="1"/>
    <col min="8" max="8" width="9.140625" style="1"/>
    <col min="9" max="9" width="10.5703125" style="1" bestFit="1" customWidth="1"/>
    <col min="10" max="10" width="9.140625" style="1"/>
    <col min="11" max="11" width="25" style="1" bestFit="1" customWidth="1"/>
    <col min="12" max="12" width="17.7109375" style="1" customWidth="1"/>
    <col min="13" max="13" width="19.85546875" style="1" bestFit="1" customWidth="1"/>
    <col min="14" max="14" width="22.7109375" style="1" customWidth="1"/>
    <col min="15" max="15" width="19.85546875" style="1" bestFit="1" customWidth="1"/>
    <col min="16" max="16384" width="9.140625" style="1"/>
  </cols>
  <sheetData>
    <row r="1" spans="1:15" x14ac:dyDescent="0.2">
      <c r="B1" s="6" t="s">
        <v>152</v>
      </c>
      <c r="J1" s="6" t="s">
        <v>123</v>
      </c>
    </row>
    <row r="2" spans="1:15" x14ac:dyDescent="0.2">
      <c r="B2" s="1" t="s">
        <v>124</v>
      </c>
      <c r="J2" s="1" t="s">
        <v>124</v>
      </c>
    </row>
    <row r="4" spans="1:15" x14ac:dyDescent="0.2">
      <c r="B4" s="14" t="s">
        <v>125</v>
      </c>
      <c r="C4" s="14"/>
      <c r="D4" s="14" t="s">
        <v>126</v>
      </c>
      <c r="E4" s="14"/>
      <c r="F4" s="14" t="s">
        <v>127</v>
      </c>
      <c r="G4" s="14"/>
      <c r="J4" s="14"/>
      <c r="K4" s="14"/>
      <c r="L4" s="14" t="s">
        <v>126</v>
      </c>
      <c r="M4" s="14"/>
      <c r="N4" s="14" t="s">
        <v>127</v>
      </c>
      <c r="O4" s="14"/>
    </row>
    <row r="5" spans="1:15" x14ac:dyDescent="0.2">
      <c r="B5" s="3" t="s">
        <v>128</v>
      </c>
      <c r="C5" s="3" t="s">
        <v>129</v>
      </c>
      <c r="D5" s="3" t="s">
        <v>24</v>
      </c>
      <c r="E5" s="3" t="s">
        <v>130</v>
      </c>
      <c r="F5" s="3" t="s">
        <v>24</v>
      </c>
      <c r="G5" s="3" t="s">
        <v>130</v>
      </c>
      <c r="J5" s="3" t="s">
        <v>131</v>
      </c>
      <c r="K5" s="3" t="s">
        <v>132</v>
      </c>
      <c r="L5" s="3" t="s">
        <v>24</v>
      </c>
      <c r="M5" s="3" t="s">
        <v>130</v>
      </c>
      <c r="N5" s="3" t="s">
        <v>24</v>
      </c>
      <c r="O5" s="3" t="s">
        <v>130</v>
      </c>
    </row>
    <row r="6" spans="1:15" x14ac:dyDescent="0.2">
      <c r="B6" s="1">
        <f>'[6]Demand sensitivity table'!A2</f>
        <v>-0.2</v>
      </c>
      <c r="C6" s="1">
        <f>'[6]Demand sensitivity table'!B2</f>
        <v>-0.11</v>
      </c>
      <c r="D6" s="25">
        <f>'[6]Demand sensitivity table'!C2</f>
        <v>7782776581.3481503</v>
      </c>
      <c r="E6" s="25">
        <f>'[6]Demand sensitivity table'!D2</f>
        <v>7145222161.65798</v>
      </c>
      <c r="F6" s="25">
        <f>'[6]Demand sensitivity table'!E2</f>
        <v>225904594.749302</v>
      </c>
      <c r="G6" s="25">
        <f>'[6]Demand sensitivity table'!F2</f>
        <v>1837324323.3440499</v>
      </c>
      <c r="J6" s="1">
        <f>'[7]Gen sensitivity table'!A2</f>
        <v>1</v>
      </c>
      <c r="K6" s="1">
        <f>'[7]Gen sensitivity table'!B2</f>
        <v>1</v>
      </c>
      <c r="L6" s="64">
        <f>'[7]Gen sensitivity table'!C2</f>
        <v>4311609101.3909903</v>
      </c>
      <c r="M6" s="64">
        <f>'[7]Gen sensitivity table'!D2</f>
        <v>5804420241.6241703</v>
      </c>
      <c r="N6" s="64">
        <f>'[7]Gen sensitivity table'!E2</f>
        <v>64469506.251955599</v>
      </c>
      <c r="O6" s="64">
        <f>'[7]Gen sensitivity table'!F2</f>
        <v>1907682179.3916199</v>
      </c>
    </row>
    <row r="7" spans="1:15" x14ac:dyDescent="0.2">
      <c r="B7" s="1">
        <f>'[6]Demand sensitivity table'!A3</f>
        <v>-0.2</v>
      </c>
      <c r="C7" s="1">
        <f>'[6]Demand sensitivity table'!B3</f>
        <v>-7.0000000000000007E-2</v>
      </c>
      <c r="D7" s="25">
        <f>'[6]Demand sensitivity table'!C3</f>
        <v>7953142655.8007298</v>
      </c>
      <c r="E7" s="25">
        <f>'[6]Demand sensitivity table'!D3</f>
        <v>7329228997.4549303</v>
      </c>
      <c r="F7" s="25">
        <f>'[6]Demand sensitivity table'!E3</f>
        <v>208055975.02114001</v>
      </c>
      <c r="G7" s="25">
        <f>'[6]Demand sensitivity table'!F3</f>
        <v>1813564212.6998899</v>
      </c>
      <c r="J7" s="1">
        <f>'[7]Gen sensitivity table'!A3</f>
        <v>1</v>
      </c>
      <c r="K7" s="1">
        <f>'[7]Gen sensitivity table'!B3</f>
        <v>2</v>
      </c>
      <c r="L7" s="64">
        <f>'[7]Gen sensitivity table'!C3</f>
        <v>5536363737.6238298</v>
      </c>
      <c r="M7" s="64">
        <f>'[7]Gen sensitivity table'!D3</f>
        <v>6993053707.5156002</v>
      </c>
      <c r="N7" s="64">
        <f>'[7]Gen sensitivity table'!E3</f>
        <v>86202467.096453696</v>
      </c>
      <c r="O7" s="64">
        <f>'[7]Gen sensitivity table'!F3</f>
        <v>1922842259.2055399</v>
      </c>
    </row>
    <row r="8" spans="1:15" x14ac:dyDescent="0.2">
      <c r="B8" s="1">
        <f>'[6]Demand sensitivity table'!A4</f>
        <v>-0.2</v>
      </c>
      <c r="C8" s="1">
        <f>'[6]Demand sensitivity table'!B4</f>
        <v>-0.02</v>
      </c>
      <c r="D8" s="25">
        <f>'[6]Demand sensitivity table'!C4</f>
        <v>7945913009.5929604</v>
      </c>
      <c r="E8" s="25">
        <f>'[6]Demand sensitivity table'!D4</f>
        <v>7252796688.1551199</v>
      </c>
      <c r="F8" s="25">
        <f>'[6]Demand sensitivity table'!E4</f>
        <v>190161162.029136</v>
      </c>
      <c r="G8" s="25">
        <f>'[6]Demand sensitivity table'!F4</f>
        <v>1781425221.60764</v>
      </c>
      <c r="J8" s="1">
        <f>'[7]Gen sensitivity table'!A4</f>
        <v>1</v>
      </c>
      <c r="K8" s="1">
        <f>'[7]Gen sensitivity table'!B4</f>
        <v>5</v>
      </c>
      <c r="L8" s="64">
        <f>'[7]Gen sensitivity table'!C4</f>
        <v>6284208996.7977304</v>
      </c>
      <c r="M8" s="64">
        <f>'[7]Gen sensitivity table'!D4</f>
        <v>6605019034.8531704</v>
      </c>
      <c r="N8" s="64">
        <f>'[7]Gen sensitivity table'!E4</f>
        <v>115358639.087815</v>
      </c>
      <c r="O8" s="64">
        <f>'[7]Gen sensitivity table'!F4</f>
        <v>1984263142.2042799</v>
      </c>
    </row>
    <row r="9" spans="1:15" x14ac:dyDescent="0.2">
      <c r="B9" s="1">
        <f>'[6]Demand sensitivity table'!A5</f>
        <v>-0.11</v>
      </c>
      <c r="C9" s="1">
        <f>'[6]Demand sensitivity table'!B5</f>
        <v>-0.11</v>
      </c>
      <c r="D9" s="25">
        <f>'[6]Demand sensitivity table'!C5</f>
        <v>4175554784.6087198</v>
      </c>
      <c r="E9" s="25">
        <f>'[6]Demand sensitivity table'!D5</f>
        <v>5015662724.67237</v>
      </c>
      <c r="F9" s="25">
        <f>'[6]Demand sensitivity table'!E5</f>
        <v>88062004.657082304</v>
      </c>
      <c r="G9" s="25">
        <f>'[6]Demand sensitivity table'!F5</f>
        <v>1757090543.8698101</v>
      </c>
      <c r="J9" s="1">
        <f>'[7]Gen sensitivity table'!A5</f>
        <v>1.075</v>
      </c>
      <c r="K9" s="1">
        <f>'[7]Gen sensitivity table'!B5</f>
        <v>1</v>
      </c>
      <c r="L9" s="64">
        <f>'[7]Gen sensitivity table'!C5</f>
        <v>3905977428.0926199</v>
      </c>
      <c r="M9" s="64">
        <f>'[7]Gen sensitivity table'!D5</f>
        <v>5157839862.0560102</v>
      </c>
      <c r="N9" s="64">
        <f>'[7]Gen sensitivity table'!E5</f>
        <v>64784916.977411099</v>
      </c>
      <c r="O9" s="64">
        <f>'[7]Gen sensitivity table'!F5</f>
        <v>1834176082.34641</v>
      </c>
    </row>
    <row r="10" spans="1:15" x14ac:dyDescent="0.2">
      <c r="B10" s="1">
        <f>'[6]Demand sensitivity table'!A6</f>
        <v>-0.11</v>
      </c>
      <c r="C10" s="1">
        <f>'[6]Demand sensitivity table'!B6</f>
        <v>-7.0000000000000007E-2</v>
      </c>
      <c r="D10" s="25">
        <f>'[6]Demand sensitivity table'!C6</f>
        <v>4359481157.0051498</v>
      </c>
      <c r="E10" s="25">
        <f>'[6]Demand sensitivity table'!D6</f>
        <v>5340178996.1899099</v>
      </c>
      <c r="F10" s="25">
        <f>'[6]Demand sensitivity table'!E6</f>
        <v>61960517.232063703</v>
      </c>
      <c r="G10" s="25">
        <f>'[6]Demand sensitivity table'!F6</f>
        <v>1739810667.5450699</v>
      </c>
      <c r="J10" s="1">
        <f>'[7]Gen sensitivity table'!A6</f>
        <v>1.075</v>
      </c>
      <c r="K10" s="1">
        <f>'[7]Gen sensitivity table'!B6</f>
        <v>2</v>
      </c>
      <c r="L10" s="64">
        <f>'[7]Gen sensitivity table'!C6</f>
        <v>5166808777.1187401</v>
      </c>
      <c r="M10" s="64">
        <f>'[7]Gen sensitivity table'!D6</f>
        <v>6137398301.3319502</v>
      </c>
      <c r="N10" s="64">
        <f>'[7]Gen sensitivity table'!E6</f>
        <v>88236036.924383894</v>
      </c>
      <c r="O10" s="64">
        <f>'[7]Gen sensitivity table'!F6</f>
        <v>1856598142.8563499</v>
      </c>
    </row>
    <row r="11" spans="1:15" x14ac:dyDescent="0.2">
      <c r="A11" s="69" t="s">
        <v>133</v>
      </c>
      <c r="B11" s="70">
        <f>'[6]Demand sensitivity table'!A7</f>
        <v>-0.11</v>
      </c>
      <c r="C11" s="70">
        <f>'[6]Demand sensitivity table'!B7</f>
        <v>-0.02</v>
      </c>
      <c r="D11" s="71">
        <f>'[6]Demand sensitivity table'!C7</f>
        <v>4370251614.5323095</v>
      </c>
      <c r="E11" s="71">
        <f>'[6]Demand sensitivity table'!D7</f>
        <v>5309413713.10818</v>
      </c>
      <c r="F11" s="71">
        <f>'[6]Demand sensitivity table'!E7</f>
        <v>50787566.160272501</v>
      </c>
      <c r="G11" s="71">
        <f>'[6]Demand sensitivity table'!F7</f>
        <v>1735497812.05616</v>
      </c>
      <c r="J11" s="1">
        <f>'[7]Gen sensitivity table'!A7</f>
        <v>1.075</v>
      </c>
      <c r="K11" s="1">
        <f>'[7]Gen sensitivity table'!B7</f>
        <v>5</v>
      </c>
      <c r="L11" s="64">
        <f>'[7]Gen sensitivity table'!C7</f>
        <v>5547515201.0194397</v>
      </c>
      <c r="M11" s="64">
        <f>'[7]Gen sensitivity table'!D7</f>
        <v>5449701011.6736202</v>
      </c>
      <c r="N11" s="64">
        <f>'[7]Gen sensitivity table'!E7</f>
        <v>77749362.667257905</v>
      </c>
      <c r="O11" s="64">
        <f>'[7]Gen sensitivity table'!F7</f>
        <v>1917615431.2430601</v>
      </c>
    </row>
    <row r="12" spans="1:15" x14ac:dyDescent="0.2">
      <c r="B12" s="1">
        <f>'[6]Demand sensitivity table'!A8</f>
        <v>-0.09</v>
      </c>
      <c r="C12" s="1">
        <f>'[6]Demand sensitivity table'!B8</f>
        <v>-0.11</v>
      </c>
      <c r="D12" s="25">
        <f>'[6]Demand sensitivity table'!C8</f>
        <v>4487940725.6001396</v>
      </c>
      <c r="E12" s="25">
        <f>'[6]Demand sensitivity table'!D8</f>
        <v>5417976546.8345699</v>
      </c>
      <c r="F12" s="25">
        <f>'[6]Demand sensitivity table'!E8</f>
        <v>63581790.910994202</v>
      </c>
      <c r="G12" s="25">
        <f>'[6]Demand sensitivity table'!F8</f>
        <v>1725791341.2655001</v>
      </c>
      <c r="J12" s="1">
        <f>'[7]Gen sensitivity table'!A8</f>
        <v>1.1499999999999999</v>
      </c>
      <c r="K12" s="1">
        <f>'[7]Gen sensitivity table'!B8</f>
        <v>1</v>
      </c>
      <c r="L12" s="64">
        <f>'[7]Gen sensitivity table'!C8</f>
        <v>3336216804.9198298</v>
      </c>
      <c r="M12" s="64">
        <f>'[7]Gen sensitivity table'!D8</f>
        <v>4421389560.3245497</v>
      </c>
      <c r="N12" s="64">
        <f>'[7]Gen sensitivity table'!E8</f>
        <v>24242192.855246101</v>
      </c>
      <c r="O12" s="64">
        <f>'[7]Gen sensitivity table'!F8</f>
        <v>1690640429.0190699</v>
      </c>
    </row>
    <row r="13" spans="1:15" x14ac:dyDescent="0.2">
      <c r="B13" s="1">
        <f>'[6]Demand sensitivity table'!A9</f>
        <v>-0.09</v>
      </c>
      <c r="C13" s="1">
        <f>'[6]Demand sensitivity table'!B9</f>
        <v>-7.0000000000000007E-2</v>
      </c>
      <c r="D13" s="25">
        <f>'[6]Demand sensitivity table'!C9</f>
        <v>4569076823.9002504</v>
      </c>
      <c r="E13" s="25">
        <f>'[6]Demand sensitivity table'!D9</f>
        <v>5529449373.0294199</v>
      </c>
      <c r="F13" s="25">
        <f>'[6]Demand sensitivity table'!E9</f>
        <v>40093698.043517701</v>
      </c>
      <c r="G13" s="25">
        <f>'[6]Demand sensitivity table'!F9</f>
        <v>1724462458.54884</v>
      </c>
      <c r="I13" s="69" t="s">
        <v>133</v>
      </c>
      <c r="J13" s="70">
        <f>'[7]Gen sensitivity table'!A9</f>
        <v>1.1499999999999999</v>
      </c>
      <c r="K13" s="70">
        <f>'[7]Gen sensitivity table'!B9</f>
        <v>2</v>
      </c>
      <c r="L13" s="72">
        <f>'[7]Gen sensitivity table'!C9</f>
        <v>4370251614.5323095</v>
      </c>
      <c r="M13" s="72">
        <f>'[7]Gen sensitivity table'!D9</f>
        <v>5309413713.10818</v>
      </c>
      <c r="N13" s="72">
        <f>'[7]Gen sensitivity table'!E9</f>
        <v>50787566.160272501</v>
      </c>
      <c r="O13" s="72">
        <f>'[7]Gen sensitivity table'!F9</f>
        <v>1735497812.05616</v>
      </c>
    </row>
    <row r="14" spans="1:15" x14ac:dyDescent="0.2">
      <c r="B14" s="3">
        <f>'[6]Demand sensitivity table'!A10</f>
        <v>-0.09</v>
      </c>
      <c r="C14" s="3">
        <f>'[6]Demand sensitivity table'!B10</f>
        <v>-0.02</v>
      </c>
      <c r="D14" s="73">
        <f>'[6]Demand sensitivity table'!C10</f>
        <v>4708746097.4348402</v>
      </c>
      <c r="E14" s="73">
        <f>'[6]Demand sensitivity table'!D10</f>
        <v>5688323009.2443705</v>
      </c>
      <c r="F14" s="73">
        <f>'[6]Demand sensitivity table'!E10</f>
        <v>28155565.8674745</v>
      </c>
      <c r="G14" s="73">
        <f>'[6]Demand sensitivity table'!F10</f>
        <v>1689034414.8412399</v>
      </c>
      <c r="J14" s="1">
        <f>'[7]Gen sensitivity table'!A10</f>
        <v>1.1499999999999999</v>
      </c>
      <c r="K14" s="1">
        <f>'[7]Gen sensitivity table'!B10</f>
        <v>5</v>
      </c>
      <c r="L14" s="64">
        <f>'[7]Gen sensitivity table'!C10</f>
        <v>5445869777.7019701</v>
      </c>
      <c r="M14" s="64">
        <f>'[7]Gen sensitivity table'!D10</f>
        <v>5748424178.99821</v>
      </c>
      <c r="N14" s="64">
        <f>'[7]Gen sensitivity table'!E10</f>
        <v>99239882.797604293</v>
      </c>
      <c r="O14" s="64">
        <f>'[7]Gen sensitivity table'!F10</f>
        <v>1826269750.9556201</v>
      </c>
    </row>
    <row r="15" spans="1:15" x14ac:dyDescent="0.2">
      <c r="J15" s="1">
        <f>'[7]Gen sensitivity table'!A11</f>
        <v>1.2250000000000001</v>
      </c>
      <c r="K15" s="1">
        <f>'[7]Gen sensitivity table'!B11</f>
        <v>1</v>
      </c>
      <c r="L15" s="64">
        <f>'[7]Gen sensitivity table'!C11</f>
        <v>-330295108.25438398</v>
      </c>
      <c r="M15" s="64">
        <f>'[7]Gen sensitivity table'!D11</f>
        <v>821896161.808851</v>
      </c>
      <c r="N15" s="64">
        <f>'[7]Gen sensitivity table'!E11</f>
        <v>-58332677.867137998</v>
      </c>
      <c r="O15" s="64">
        <f>'[7]Gen sensitivity table'!F11</f>
        <v>1345448106.99172</v>
      </c>
    </row>
    <row r="16" spans="1:15" x14ac:dyDescent="0.2">
      <c r="J16" s="1">
        <f>'[7]Gen sensitivity table'!A12</f>
        <v>1.2250000000000001</v>
      </c>
      <c r="K16" s="1">
        <f>'[7]Gen sensitivity table'!B12</f>
        <v>2</v>
      </c>
      <c r="L16" s="64">
        <f>'[7]Gen sensitivity table'!C12</f>
        <v>4013861366.7107301</v>
      </c>
      <c r="M16" s="64">
        <f>'[7]Gen sensitivity table'!D12</f>
        <v>4863733922.5778303</v>
      </c>
      <c r="N16" s="64">
        <f>'[7]Gen sensitivity table'!E12</f>
        <v>-27286057.282488301</v>
      </c>
      <c r="O16" s="64">
        <f>'[7]Gen sensitivity table'!F12</f>
        <v>1336537300.4983799</v>
      </c>
    </row>
    <row r="17" spans="1:15" x14ac:dyDescent="0.2">
      <c r="B17" s="6" t="s">
        <v>153</v>
      </c>
      <c r="J17" s="1">
        <f>'[7]Gen sensitivity table'!A13</f>
        <v>1.2250000000000001</v>
      </c>
      <c r="K17" s="1">
        <f>'[7]Gen sensitivity table'!B13</f>
        <v>5</v>
      </c>
      <c r="L17" s="64">
        <f>'[7]Gen sensitivity table'!C13</f>
        <v>10871930496.405001</v>
      </c>
      <c r="M17" s="64">
        <f>'[7]Gen sensitivity table'!D13</f>
        <v>9243782459.3349895</v>
      </c>
      <c r="N17" s="64">
        <f>'[7]Gen sensitivity table'!E13</f>
        <v>47127051.805932201</v>
      </c>
      <c r="O17" s="64">
        <f>'[7]Gen sensitivity table'!F13</f>
        <v>1368768505.6571701</v>
      </c>
    </row>
    <row r="18" spans="1:15" x14ac:dyDescent="0.2">
      <c r="B18" s="1" t="s">
        <v>124</v>
      </c>
      <c r="J18" s="1">
        <f>'[7]Gen sensitivity table'!A14</f>
        <v>1.3</v>
      </c>
      <c r="K18" s="1">
        <f>'[7]Gen sensitivity table'!B14</f>
        <v>1</v>
      </c>
      <c r="L18" s="64">
        <f>'[7]Gen sensitivity table'!C14</f>
        <v>1593344969.9093101</v>
      </c>
      <c r="M18" s="64">
        <f>'[7]Gen sensitivity table'!D14</f>
        <v>2398704152.54954</v>
      </c>
      <c r="N18" s="64">
        <f>'[7]Gen sensitivity table'!E14</f>
        <v>-61899331.018629499</v>
      </c>
      <c r="O18" s="64">
        <f>'[7]Gen sensitivity table'!F14</f>
        <v>1092227864.8608</v>
      </c>
    </row>
    <row r="19" spans="1:15" x14ac:dyDescent="0.2">
      <c r="J19" s="1">
        <f>'[7]Gen sensitivity table'!A15</f>
        <v>1.3</v>
      </c>
      <c r="K19" s="1">
        <f>'[7]Gen sensitivity table'!B15</f>
        <v>2</v>
      </c>
      <c r="L19" s="64">
        <f>'[7]Gen sensitivity table'!C15</f>
        <v>2997576475.7557001</v>
      </c>
      <c r="M19" s="64">
        <f>'[7]Gen sensitivity table'!D15</f>
        <v>3488503667.4461999</v>
      </c>
      <c r="N19" s="64">
        <f>'[7]Gen sensitivity table'!E15</f>
        <v>-62023838.332021996</v>
      </c>
      <c r="O19" s="64">
        <f>'[7]Gen sensitivity table'!F15</f>
        <v>1141345523.3762701</v>
      </c>
    </row>
    <row r="20" spans="1:15" x14ac:dyDescent="0.2">
      <c r="B20" s="14"/>
      <c r="C20" s="14"/>
      <c r="D20" s="14" t="s">
        <v>126</v>
      </c>
      <c r="E20" s="14"/>
      <c r="F20" s="14" t="s">
        <v>127</v>
      </c>
      <c r="G20" s="14"/>
      <c r="J20" s="3">
        <f>'[7]Gen sensitivity table'!A16</f>
        <v>1.3</v>
      </c>
      <c r="K20" s="3">
        <f>'[7]Gen sensitivity table'!B16</f>
        <v>5</v>
      </c>
      <c r="L20" s="74">
        <f>'[7]Gen sensitivity table'!C16</f>
        <v>7268081484.8582096</v>
      </c>
      <c r="M20" s="74">
        <f>'[7]Gen sensitivity table'!D16</f>
        <v>6056211753.9450197</v>
      </c>
      <c r="N20" s="74">
        <f>'[7]Gen sensitivity table'!E16</f>
        <v>-59911777.246476397</v>
      </c>
      <c r="O20" s="74">
        <f>'[7]Gen sensitivity table'!F16</f>
        <v>1182209257.5119801</v>
      </c>
    </row>
    <row r="21" spans="1:15" x14ac:dyDescent="0.2">
      <c r="B21" s="3" t="s">
        <v>134</v>
      </c>
      <c r="C21" s="3" t="s">
        <v>135</v>
      </c>
      <c r="D21" s="3" t="s">
        <v>24</v>
      </c>
      <c r="E21" s="3" t="s">
        <v>130</v>
      </c>
      <c r="F21" s="3" t="s">
        <v>24</v>
      </c>
      <c r="G21" s="3" t="s">
        <v>130</v>
      </c>
    </row>
    <row r="22" spans="1:15" x14ac:dyDescent="0.2">
      <c r="B22" s="1">
        <v>0.92</v>
      </c>
      <c r="C22" s="1">
        <v>0.25</v>
      </c>
      <c r="D22" s="25">
        <f>'[8]DG sensitivity table'!C2</f>
        <v>4366250579.9278402</v>
      </c>
      <c r="E22" s="25">
        <f>'[8]DG sensitivity table'!D2</f>
        <v>5347839620.16891</v>
      </c>
      <c r="F22" s="25">
        <f>'[8]DG sensitivity table'!E2</f>
        <v>-18646403.385758199</v>
      </c>
      <c r="G22" s="25">
        <f>'[8]DG sensitivity table'!F2</f>
        <v>1600236847.10272</v>
      </c>
      <c r="J22" s="6" t="s">
        <v>123</v>
      </c>
    </row>
    <row r="23" spans="1:15" x14ac:dyDescent="0.2">
      <c r="B23" s="1">
        <v>0.92</v>
      </c>
      <c r="C23" s="1">
        <v>0.5</v>
      </c>
      <c r="D23" s="25">
        <f>'[8]DG sensitivity table'!C3</f>
        <v>4779937343.3065004</v>
      </c>
      <c r="E23" s="25">
        <f>'[8]DG sensitivity table'!D3</f>
        <v>5717712191.3026104</v>
      </c>
      <c r="F23" s="25">
        <f>'[8]DG sensitivity table'!E3</f>
        <v>77319800.976441607</v>
      </c>
      <c r="G23" s="25">
        <f>'[8]DG sensitivity table'!F3</f>
        <v>1723362224.17992</v>
      </c>
      <c r="J23" s="1" t="s">
        <v>136</v>
      </c>
    </row>
    <row r="24" spans="1:15" x14ac:dyDescent="0.2">
      <c r="B24" s="1">
        <v>0.92</v>
      </c>
      <c r="C24" s="1">
        <v>1</v>
      </c>
      <c r="D24" s="25">
        <f>'[8]DG sensitivity table'!C4</f>
        <v>4206244815.95854</v>
      </c>
      <c r="E24" s="25">
        <f>'[8]DG sensitivity table'!D4</f>
        <v>5075052522.9868298</v>
      </c>
      <c r="F24" s="25">
        <f>'[8]DG sensitivity table'!E4</f>
        <v>199096429.38728401</v>
      </c>
      <c r="G24" s="25">
        <f>'[8]DG sensitivity table'!F4</f>
        <v>1910589628.7524199</v>
      </c>
    </row>
    <row r="25" spans="1:15" x14ac:dyDescent="0.2">
      <c r="B25" s="1">
        <v>0.92</v>
      </c>
      <c r="C25" s="1">
        <v>2</v>
      </c>
      <c r="D25" s="25">
        <f>'[8]DG sensitivity table'!C5</f>
        <v>4178368990.33635</v>
      </c>
      <c r="E25" s="25">
        <f>'[8]DG sensitivity table'!D5</f>
        <v>5071123152.1435604</v>
      </c>
      <c r="F25" s="25">
        <f>'[8]DG sensitivity table'!E5</f>
        <v>353794943.831994</v>
      </c>
      <c r="G25" s="25">
        <f>'[8]DG sensitivity table'!F5</f>
        <v>2107451379.1003399</v>
      </c>
      <c r="J25" s="14"/>
      <c r="K25" s="14"/>
      <c r="L25" s="14" t="s">
        <v>126</v>
      </c>
      <c r="M25" s="14"/>
      <c r="N25" s="14" t="s">
        <v>127</v>
      </c>
      <c r="O25" s="14"/>
    </row>
    <row r="26" spans="1:15" x14ac:dyDescent="0.2">
      <c r="B26" s="1">
        <v>0.93</v>
      </c>
      <c r="C26" s="1">
        <v>0.25</v>
      </c>
      <c r="D26" s="25">
        <f>'[8]DG sensitivity table'!C6</f>
        <v>4415666174.56005</v>
      </c>
      <c r="E26" s="25">
        <f>'[8]DG sensitivity table'!D6</f>
        <v>5331764175.0222902</v>
      </c>
      <c r="F26" s="25">
        <f>'[8]DG sensitivity table'!E6</f>
        <v>-44101988.024837703</v>
      </c>
      <c r="G26" s="25">
        <f>'[8]DG sensitivity table'!F6</f>
        <v>1570119062.6047201</v>
      </c>
      <c r="J26" s="3" t="s">
        <v>131</v>
      </c>
      <c r="K26" s="3" t="s">
        <v>132</v>
      </c>
      <c r="L26" s="3" t="s">
        <v>24</v>
      </c>
      <c r="M26" s="3" t="s">
        <v>130</v>
      </c>
      <c r="N26" s="3" t="s">
        <v>24</v>
      </c>
      <c r="O26" s="3" t="s">
        <v>130</v>
      </c>
    </row>
    <row r="27" spans="1:15" x14ac:dyDescent="0.2">
      <c r="A27" s="69" t="s">
        <v>133</v>
      </c>
      <c r="B27" s="70">
        <v>0.93</v>
      </c>
      <c r="C27" s="70">
        <v>0.5</v>
      </c>
      <c r="D27" s="71">
        <f>'[8]DG sensitivity table'!C7</f>
        <v>4370251614.5323095</v>
      </c>
      <c r="E27" s="71">
        <f>'[8]DG sensitivity table'!D7</f>
        <v>5309413713.10818</v>
      </c>
      <c r="F27" s="71">
        <f>'[8]DG sensitivity table'!E7</f>
        <v>50787566.160272501</v>
      </c>
      <c r="G27" s="71">
        <f>'[8]DG sensitivity table'!F7</f>
        <v>1735497812.05616</v>
      </c>
      <c r="J27" s="1">
        <f>'[9]Gen ex DG sensitivity table'!A2</f>
        <v>1</v>
      </c>
      <c r="K27" s="1">
        <f>'[9]Gen ex DG sensitivity table'!B2</f>
        <v>1</v>
      </c>
      <c r="L27" s="65">
        <f>'[9]Gen ex DG sensitivity table'!C2</f>
        <v>373936804.60083801</v>
      </c>
      <c r="M27" s="65">
        <f>'[9]Gen ex DG sensitivity table'!D2</f>
        <v>1853274152.2379401</v>
      </c>
      <c r="N27" s="65">
        <f>'[9]Gen ex DG sensitivity table'!E2</f>
        <v>-116643650.696438</v>
      </c>
      <c r="O27" s="65">
        <f>'[9]Gen ex DG sensitivity table'!F2</f>
        <v>1763737402.9073999</v>
      </c>
    </row>
    <row r="28" spans="1:15" x14ac:dyDescent="0.2">
      <c r="B28" s="1">
        <v>0.93</v>
      </c>
      <c r="C28" s="1">
        <v>1</v>
      </c>
      <c r="D28" s="25">
        <f>'[8]DG sensitivity table'!C8</f>
        <v>4483496726.06919</v>
      </c>
      <c r="E28" s="25">
        <f>'[8]DG sensitivity table'!D8</f>
        <v>5404656752.3151798</v>
      </c>
      <c r="F28" s="25">
        <f>'[8]DG sensitivity table'!E8</f>
        <v>124588636.560056</v>
      </c>
      <c r="G28" s="25">
        <f>'[8]DG sensitivity table'!F8</f>
        <v>1821380836.4945199</v>
      </c>
      <c r="J28" s="1">
        <f>'[9]Gen ex DG sensitivity table'!A3</f>
        <v>1</v>
      </c>
      <c r="K28" s="1">
        <f>'[9]Gen ex DG sensitivity table'!B3</f>
        <v>2</v>
      </c>
      <c r="L28" s="65">
        <f>'[9]Gen ex DG sensitivity table'!C3</f>
        <v>672166756.11437297</v>
      </c>
      <c r="M28" s="65">
        <f>'[9]Gen ex DG sensitivity table'!D3</f>
        <v>2180750381.4663301</v>
      </c>
      <c r="N28" s="65">
        <f>'[9]Gen ex DG sensitivity table'!E3</f>
        <v>-95373225.930127099</v>
      </c>
      <c r="O28" s="65">
        <f>'[9]Gen ex DG sensitivity table'!F3</f>
        <v>1779225662.53982</v>
      </c>
    </row>
    <row r="29" spans="1:15" x14ac:dyDescent="0.2">
      <c r="B29" s="1">
        <v>0.93</v>
      </c>
      <c r="C29" s="1">
        <v>2</v>
      </c>
      <c r="D29" s="25">
        <f>'[8]DG sensitivity table'!C9</f>
        <v>4475908205.30865</v>
      </c>
      <c r="E29" s="25">
        <f>'[8]DG sensitivity table'!D9</f>
        <v>5336175745.4074697</v>
      </c>
      <c r="F29" s="25">
        <f>'[8]DG sensitivity table'!E9</f>
        <v>280871168.328237</v>
      </c>
      <c r="G29" s="25">
        <f>'[8]DG sensitivity table'!F9</f>
        <v>1929760630.75225</v>
      </c>
      <c r="J29" s="1">
        <f>'[9]Gen ex DG sensitivity table'!A4</f>
        <v>1</v>
      </c>
      <c r="K29" s="1">
        <f>'[9]Gen ex DG sensitivity table'!B4</f>
        <v>5</v>
      </c>
      <c r="L29" s="65">
        <f>'[9]Gen ex DG sensitivity table'!C4</f>
        <v>2407482148.3723898</v>
      </c>
      <c r="M29" s="65">
        <f>'[9]Gen ex DG sensitivity table'!D4</f>
        <v>3015262164.1279302</v>
      </c>
      <c r="N29" s="65">
        <f>'[9]Gen ex DG sensitivity table'!E4</f>
        <v>-21752261.0481118</v>
      </c>
      <c r="O29" s="65">
        <f>'[9]Gen ex DG sensitivity table'!F4</f>
        <v>1833006632.06249</v>
      </c>
    </row>
    <row r="30" spans="1:15" x14ac:dyDescent="0.2">
      <c r="B30" s="1">
        <v>0.94</v>
      </c>
      <c r="C30" s="1">
        <v>0.25</v>
      </c>
      <c r="D30" s="25">
        <f>'[8]DG sensitivity table'!C10</f>
        <v>4186811489.7996402</v>
      </c>
      <c r="E30" s="25">
        <f>'[8]DG sensitivity table'!D10</f>
        <v>5122687159.7141504</v>
      </c>
      <c r="F30" s="25">
        <f>'[8]DG sensitivity table'!E10</f>
        <v>-85442567.313807905</v>
      </c>
      <c r="G30" s="25">
        <f>'[8]DG sensitivity table'!F10</f>
        <v>1516939020.1515</v>
      </c>
      <c r="J30" s="1">
        <f>'[9]Gen ex DG sensitivity table'!A5</f>
        <v>1.075</v>
      </c>
      <c r="K30" s="1">
        <f>'[9]Gen ex DG sensitivity table'!B5</f>
        <v>1</v>
      </c>
      <c r="L30" s="65">
        <f>'[9]Gen ex DG sensitivity table'!C5</f>
        <v>799456105.22307599</v>
      </c>
      <c r="M30" s="65">
        <f>'[9]Gen ex DG sensitivity table'!D5</f>
        <v>2217702976.0039701</v>
      </c>
      <c r="N30" s="65">
        <f>'[9]Gen ex DG sensitivity table'!E5</f>
        <v>-62947094.884120397</v>
      </c>
      <c r="O30" s="65">
        <f>'[9]Gen ex DG sensitivity table'!F5</f>
        <v>1540435996.0234399</v>
      </c>
    </row>
    <row r="31" spans="1:15" x14ac:dyDescent="0.2">
      <c r="B31" s="1">
        <v>0.94</v>
      </c>
      <c r="C31" s="1">
        <v>0.5</v>
      </c>
      <c r="D31" s="25">
        <f>'[8]DG sensitivity table'!C11</f>
        <v>4725316366.1840496</v>
      </c>
      <c r="E31" s="25">
        <f>'[8]DG sensitivity table'!D11</f>
        <v>5691564304.3877697</v>
      </c>
      <c r="F31" s="25">
        <f>'[8]DG sensitivity table'!E11</f>
        <v>-3749414.1241524699</v>
      </c>
      <c r="G31" s="25">
        <f>'[8]DG sensitivity table'!F11</f>
        <v>1635111721.1691501</v>
      </c>
      <c r="J31" s="1">
        <f>'[9]Gen ex DG sensitivity table'!A6</f>
        <v>1.075</v>
      </c>
      <c r="K31" s="1">
        <f>'[9]Gen ex DG sensitivity table'!B6</f>
        <v>2</v>
      </c>
      <c r="L31" s="65">
        <f>'[9]Gen ex DG sensitivity table'!C6</f>
        <v>1217840064.69859</v>
      </c>
      <c r="M31" s="65">
        <f>'[9]Gen ex DG sensitivity table'!D6</f>
        <v>2518012712.70087</v>
      </c>
      <c r="N31" s="65">
        <f>'[9]Gen ex DG sensitivity table'!E6</f>
        <v>-41548694.138280801</v>
      </c>
      <c r="O31" s="65">
        <f>'[9]Gen ex DG sensitivity table'!F6</f>
        <v>1563247382.3164799</v>
      </c>
    </row>
    <row r="32" spans="1:15" x14ac:dyDescent="0.2">
      <c r="B32" s="1">
        <v>0.94</v>
      </c>
      <c r="C32" s="1">
        <v>1</v>
      </c>
      <c r="D32" s="25">
        <f>'[8]DG sensitivity table'!C12</f>
        <v>4364567152.9534397</v>
      </c>
      <c r="E32" s="25">
        <f>'[8]DG sensitivity table'!D12</f>
        <v>5290016231.1171503</v>
      </c>
      <c r="F32" s="25">
        <f>'[8]DG sensitivity table'!E12</f>
        <v>93483486.061951399</v>
      </c>
      <c r="G32" s="25">
        <f>'[8]DG sensitivity table'!F12</f>
        <v>1782411585.3875501</v>
      </c>
      <c r="J32" s="1">
        <f>'[9]Gen ex DG sensitivity table'!A7</f>
        <v>1.075</v>
      </c>
      <c r="K32" s="1">
        <f>'[9]Gen ex DG sensitivity table'!B7</f>
        <v>5</v>
      </c>
      <c r="L32" s="65">
        <f>'[9]Gen ex DG sensitivity table'!C7</f>
        <v>2545503599.2196898</v>
      </c>
      <c r="M32" s="65">
        <f>'[9]Gen ex DG sensitivity table'!D7</f>
        <v>2866529675.86094</v>
      </c>
      <c r="N32" s="65">
        <f>'[9]Gen ex DG sensitivity table'!E7</f>
        <v>12801499.713047599</v>
      </c>
      <c r="O32" s="65">
        <f>'[9]Gen ex DG sensitivity table'!F7</f>
        <v>1627505139.9017701</v>
      </c>
    </row>
    <row r="33" spans="2:15" x14ac:dyDescent="0.2">
      <c r="B33" s="1">
        <v>0.94</v>
      </c>
      <c r="C33" s="1">
        <v>2</v>
      </c>
      <c r="D33" s="25">
        <f>'[8]DG sensitivity table'!C13</f>
        <v>4591409060.8206301</v>
      </c>
      <c r="E33" s="25">
        <f>'[8]DG sensitivity table'!D13</f>
        <v>5515018416.8151503</v>
      </c>
      <c r="F33" s="25">
        <f>'[8]DG sensitivity table'!E13</f>
        <v>135344315.791403</v>
      </c>
      <c r="G33" s="25">
        <f>'[8]DG sensitivity table'!F13</f>
        <v>1834540381.9893899</v>
      </c>
      <c r="J33" s="1">
        <f>'[9]Gen ex DG sensitivity table'!A8</f>
        <v>1.1499999999999999</v>
      </c>
      <c r="K33" s="1">
        <f>'[9]Gen ex DG sensitivity table'!B8</f>
        <v>1</v>
      </c>
      <c r="L33" s="65">
        <f>'[9]Gen ex DG sensitivity table'!C8</f>
        <v>807797352.99625301</v>
      </c>
      <c r="M33" s="65">
        <f>'[9]Gen ex DG sensitivity table'!D8</f>
        <v>1894459040.2855899</v>
      </c>
      <c r="N33" s="65">
        <f>'[9]Gen ex DG sensitivity table'!E8</f>
        <v>-78124050.384482905</v>
      </c>
      <c r="O33" s="65">
        <f>'[9]Gen ex DG sensitivity table'!F8</f>
        <v>1309387994.6344099</v>
      </c>
    </row>
    <row r="34" spans="2:15" x14ac:dyDescent="0.2">
      <c r="B34" s="1">
        <v>0.95</v>
      </c>
      <c r="C34" s="1">
        <v>0.25</v>
      </c>
      <c r="D34" s="25">
        <f>'[8]DG sensitivity table'!C14</f>
        <v>2055998564.0106201</v>
      </c>
      <c r="E34" s="25">
        <f>'[8]DG sensitivity table'!D14</f>
        <v>2953852132.8154502</v>
      </c>
      <c r="F34" s="25">
        <f>'[8]DG sensitivity table'!E14</f>
        <v>-133020867.093996</v>
      </c>
      <c r="G34" s="25">
        <f>'[8]DG sensitivity table'!F14</f>
        <v>1463272966.10115</v>
      </c>
      <c r="I34" s="69" t="s">
        <v>133</v>
      </c>
      <c r="J34" s="70">
        <f>'[9]Gen ex DG sensitivity table'!A9</f>
        <v>1.1499999999999999</v>
      </c>
      <c r="K34" s="70">
        <f>'[9]Gen ex DG sensitivity table'!B9</f>
        <v>2</v>
      </c>
      <c r="L34" s="75">
        <f>'[9]Gen ex DG sensitivity table'!C9</f>
        <v>1563375664.20927</v>
      </c>
      <c r="M34" s="75">
        <f>'[9]Gen ex DG sensitivity table'!D9</f>
        <v>2513747655.7465301</v>
      </c>
      <c r="N34" s="75">
        <f>'[9]Gen ex DG sensitivity table'!E9</f>
        <v>-17098563.1803644</v>
      </c>
      <c r="O34" s="75">
        <f>'[9]Gen ex DG sensitivity table'!F9</f>
        <v>1348615041.5870299</v>
      </c>
    </row>
    <row r="35" spans="2:15" x14ac:dyDescent="0.2">
      <c r="B35" s="1">
        <v>0.95</v>
      </c>
      <c r="C35" s="1">
        <v>0.5</v>
      </c>
      <c r="D35" s="25">
        <f>'[8]DG sensitivity table'!C15</f>
        <v>4169674972.5848999</v>
      </c>
      <c r="E35" s="25">
        <f>'[8]DG sensitivity table'!D15</f>
        <v>5102246024.3751202</v>
      </c>
      <c r="F35" s="25">
        <f>'[8]DG sensitivity table'!E15</f>
        <v>-58154231.327780001</v>
      </c>
      <c r="G35" s="25">
        <f>'[8]DG sensitivity table'!F15</f>
        <v>1541105823.7490699</v>
      </c>
      <c r="J35" s="1">
        <f>'[9]Gen ex DG sensitivity table'!A10</f>
        <v>1.1499999999999999</v>
      </c>
      <c r="K35" s="1">
        <f>'[9]Gen ex DG sensitivity table'!B10</f>
        <v>5</v>
      </c>
      <c r="L35" s="65">
        <f>'[9]Gen ex DG sensitivity table'!C10</f>
        <v>2306627503.2789402</v>
      </c>
      <c r="M35" s="65">
        <f>'[9]Gen ex DG sensitivity table'!D10</f>
        <v>2859920035.9840999</v>
      </c>
      <c r="N35" s="65">
        <f>'[9]Gen ex DG sensitivity table'!E10</f>
        <v>39690903.631777897</v>
      </c>
      <c r="O35" s="65">
        <f>'[9]Gen ex DG sensitivity table'!F10</f>
        <v>1543169677.62012</v>
      </c>
    </row>
    <row r="36" spans="2:15" x14ac:dyDescent="0.2">
      <c r="B36" s="1">
        <v>0.95</v>
      </c>
      <c r="C36" s="1">
        <v>1</v>
      </c>
      <c r="D36" s="25">
        <f>'[8]DG sensitivity table'!C16</f>
        <v>4516324092.3435898</v>
      </c>
      <c r="E36" s="25">
        <f>'[8]DG sensitivity table'!D16</f>
        <v>5486999796.0203896</v>
      </c>
      <c r="F36" s="25">
        <f>'[8]DG sensitivity table'!E16</f>
        <v>28397791.3493689</v>
      </c>
      <c r="G36" s="25">
        <f>'[8]DG sensitivity table'!F16</f>
        <v>1680683656.19891</v>
      </c>
      <c r="J36" s="1">
        <f>'[9]Gen ex DG sensitivity table'!A11</f>
        <v>1.2250000000000001</v>
      </c>
      <c r="K36" s="1">
        <f>'[9]Gen ex DG sensitivity table'!B11</f>
        <v>1</v>
      </c>
      <c r="L36" s="65">
        <f>'[9]Gen ex DG sensitivity table'!C11</f>
        <v>1173939605.5800099</v>
      </c>
      <c r="M36" s="65">
        <f>'[9]Gen ex DG sensitivity table'!D11</f>
        <v>2091278765.381</v>
      </c>
      <c r="N36" s="65">
        <f>'[9]Gen ex DG sensitivity table'!E11</f>
        <v>-26427415.5583339</v>
      </c>
      <c r="O36" s="65">
        <f>'[9]Gen ex DG sensitivity table'!F11</f>
        <v>1003952102.05743</v>
      </c>
    </row>
    <row r="37" spans="2:15" x14ac:dyDescent="0.2">
      <c r="B37" s="1">
        <v>0.95</v>
      </c>
      <c r="C37" s="1">
        <v>2</v>
      </c>
      <c r="D37" s="25">
        <f>'[8]DG sensitivity table'!C17</f>
        <v>4404321197.3405104</v>
      </c>
      <c r="E37" s="25">
        <f>'[8]DG sensitivity table'!D17</f>
        <v>5284120338.5008402</v>
      </c>
      <c r="F37" s="25">
        <f>'[8]DG sensitivity table'!E17</f>
        <v>70271785.1346239</v>
      </c>
      <c r="G37" s="25">
        <f>'[8]DG sensitivity table'!F17</f>
        <v>1720115776.03177</v>
      </c>
      <c r="J37" s="1">
        <f>'[9]Gen ex DG sensitivity table'!A12</f>
        <v>1.2250000000000001</v>
      </c>
      <c r="K37" s="1">
        <f>'[9]Gen ex DG sensitivity table'!B12</f>
        <v>2</v>
      </c>
      <c r="L37" s="65">
        <f>'[9]Gen ex DG sensitivity table'!C12</f>
        <v>2169853751.0868802</v>
      </c>
      <c r="M37" s="65">
        <f>'[9]Gen ex DG sensitivity table'!D12</f>
        <v>2917734044.3420501</v>
      </c>
      <c r="N37" s="65">
        <f>'[9]Gen ex DG sensitivity table'!E12</f>
        <v>6639147.6178214597</v>
      </c>
      <c r="O37" s="65">
        <f>'[9]Gen ex DG sensitivity table'!F12</f>
        <v>1029216902.82923</v>
      </c>
    </row>
    <row r="38" spans="2:15" x14ac:dyDescent="0.2">
      <c r="B38" s="1">
        <v>0.96</v>
      </c>
      <c r="C38" s="1">
        <v>0.25</v>
      </c>
      <c r="D38" s="25">
        <f>'[8]DG sensitivity table'!C18</f>
        <v>772642019.24023294</v>
      </c>
      <c r="E38" s="25">
        <f>'[8]DG sensitivity table'!D18</f>
        <v>1866878749.47645</v>
      </c>
      <c r="F38" s="25">
        <f>'[8]DG sensitivity table'!E18</f>
        <v>-194047694.567606</v>
      </c>
      <c r="G38" s="25">
        <f>'[8]DG sensitivity table'!F18</f>
        <v>1429035405.1312599</v>
      </c>
      <c r="J38" s="1">
        <f>'[9]Gen ex DG sensitivity table'!A13</f>
        <v>1.2250000000000001</v>
      </c>
      <c r="K38" s="1">
        <f>'[9]Gen ex DG sensitivity table'!B13</f>
        <v>5</v>
      </c>
      <c r="L38" s="65">
        <f>'[9]Gen ex DG sensitivity table'!C13</f>
        <v>5885006118.0269203</v>
      </c>
      <c r="M38" s="65">
        <f>'[9]Gen ex DG sensitivity table'!D13</f>
        <v>4617459071.3621197</v>
      </c>
      <c r="N38" s="65">
        <f>'[9]Gen ex DG sensitivity table'!E13</f>
        <v>57014219.203295097</v>
      </c>
      <c r="O38" s="65">
        <f>'[9]Gen ex DG sensitivity table'!F13</f>
        <v>1114767598.81178</v>
      </c>
    </row>
    <row r="39" spans="2:15" x14ac:dyDescent="0.2">
      <c r="B39" s="1">
        <v>0.96</v>
      </c>
      <c r="C39" s="1">
        <v>0.5</v>
      </c>
      <c r="D39" s="25">
        <f>'[8]DG sensitivity table'!C19</f>
        <v>1589545851.2309401</v>
      </c>
      <c r="E39" s="25">
        <f>'[8]DG sensitivity table'!D19</f>
        <v>2519387634.3031301</v>
      </c>
      <c r="F39" s="25">
        <f>'[8]DG sensitivity table'!E19</f>
        <v>-125773509.717952</v>
      </c>
      <c r="G39" s="25">
        <f>'[8]DG sensitivity table'!F19</f>
        <v>1476316825.5666201</v>
      </c>
      <c r="J39" s="1">
        <f>'[9]Gen ex DG sensitivity table'!A14</f>
        <v>1.3</v>
      </c>
      <c r="K39" s="1">
        <f>'[9]Gen ex DG sensitivity table'!B14</f>
        <v>1</v>
      </c>
      <c r="L39" s="65">
        <f>'[9]Gen ex DG sensitivity table'!C14</f>
        <v>1083864743.5016899</v>
      </c>
      <c r="M39" s="65">
        <f>'[9]Gen ex DG sensitivity table'!D14</f>
        <v>1950590337.6654799</v>
      </c>
      <c r="N39" s="65">
        <f>'[9]Gen ex DG sensitivity table'!E14</f>
        <v>-72938461.536166698</v>
      </c>
      <c r="O39" s="65">
        <f>'[9]Gen ex DG sensitivity table'!F14</f>
        <v>924392930.45643497</v>
      </c>
    </row>
    <row r="40" spans="2:15" x14ac:dyDescent="0.2">
      <c r="B40" s="1">
        <v>0.96</v>
      </c>
      <c r="C40" s="1">
        <v>1</v>
      </c>
      <c r="D40" s="25">
        <f>'[8]DG sensitivity table'!C20</f>
        <v>4215714251.5856299</v>
      </c>
      <c r="E40" s="25">
        <f>'[8]DG sensitivity table'!D20</f>
        <v>5096283626.2811899</v>
      </c>
      <c r="F40" s="25">
        <f>'[8]DG sensitivity table'!E20</f>
        <v>-42153866.015436299</v>
      </c>
      <c r="G40" s="25">
        <f>'[8]DG sensitivity table'!F20</f>
        <v>1540695303.04757</v>
      </c>
      <c r="J40" s="1">
        <f>'[9]Gen ex DG sensitivity table'!A15</f>
        <v>1.3</v>
      </c>
      <c r="K40" s="1">
        <f>'[9]Gen ex DG sensitivity table'!B15</f>
        <v>2</v>
      </c>
      <c r="L40" s="65">
        <f>'[9]Gen ex DG sensitivity table'!C15</f>
        <v>2471518194.5268798</v>
      </c>
      <c r="M40" s="65">
        <f>'[9]Gen ex DG sensitivity table'!D15</f>
        <v>2948058116.9913001</v>
      </c>
      <c r="N40" s="65">
        <f>'[9]Gen ex DG sensitivity table'!E15</f>
        <v>35127631.259438403</v>
      </c>
      <c r="O40" s="65">
        <f>'[9]Gen ex DG sensitivity table'!F15</f>
        <v>945929383.96705198</v>
      </c>
    </row>
    <row r="41" spans="2:15" x14ac:dyDescent="0.2">
      <c r="B41" s="3">
        <v>0.96</v>
      </c>
      <c r="C41" s="3">
        <v>2</v>
      </c>
      <c r="D41" s="73">
        <f>'[8]DG sensitivity table'!C21</f>
        <v>4348098978.5121403</v>
      </c>
      <c r="E41" s="73">
        <f>'[8]DG sensitivity table'!D21</f>
        <v>5323193023.5143604</v>
      </c>
      <c r="F41" s="73">
        <f>'[8]DG sensitivity table'!E21</f>
        <v>38713097.194734603</v>
      </c>
      <c r="G41" s="73">
        <f>'[8]DG sensitivity table'!F21</f>
        <v>1680643628.3338001</v>
      </c>
      <c r="J41" s="3">
        <f>'[9]Gen ex DG sensitivity table'!A16</f>
        <v>1.3</v>
      </c>
      <c r="K41" s="3">
        <f>'[9]Gen ex DG sensitivity table'!B16</f>
        <v>5</v>
      </c>
      <c r="L41" s="76">
        <f>'[9]Gen ex DG sensitivity table'!C16</f>
        <v>5435594947.1003704</v>
      </c>
      <c r="M41" s="76">
        <f>'[9]Gen ex DG sensitivity table'!D16</f>
        <v>4549259298.3303699</v>
      </c>
      <c r="N41" s="76">
        <f>'[9]Gen ex DG sensitivity table'!E16</f>
        <v>63247194.195454299</v>
      </c>
      <c r="O41" s="76">
        <f>'[9]Gen ex DG sensitivity table'!F16</f>
        <v>986281222.72185302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heetViews>
  <sheetFormatPr defaultRowHeight="15" x14ac:dyDescent="0.25"/>
  <cols>
    <col min="2" max="2" width="28.7109375" customWidth="1"/>
    <col min="3" max="11" width="15" customWidth="1"/>
  </cols>
  <sheetData>
    <row r="1" spans="2:11" ht="14.85" thickBot="1" x14ac:dyDescent="0.6"/>
    <row r="2" spans="2:11" ht="26.25" thickBot="1" x14ac:dyDescent="0.3">
      <c r="B2" s="26" t="s">
        <v>45</v>
      </c>
      <c r="C2" s="27" t="s">
        <v>46</v>
      </c>
      <c r="D2" s="27"/>
      <c r="E2" s="27"/>
      <c r="F2" s="27" t="s">
        <v>47</v>
      </c>
      <c r="G2" s="27"/>
      <c r="H2" s="27"/>
      <c r="I2" s="27" t="s">
        <v>187</v>
      </c>
      <c r="J2" s="27"/>
      <c r="K2" s="27"/>
    </row>
    <row r="3" spans="2:11" ht="14.85" thickBot="1" x14ac:dyDescent="0.6">
      <c r="B3" s="26" t="s">
        <v>45</v>
      </c>
      <c r="C3" s="27" t="s">
        <v>62</v>
      </c>
      <c r="D3" s="27" t="s">
        <v>63</v>
      </c>
      <c r="E3" s="27" t="s">
        <v>64</v>
      </c>
      <c r="F3" s="27" t="s">
        <v>62</v>
      </c>
      <c r="G3" s="27" t="s">
        <v>63</v>
      </c>
      <c r="H3" s="27" t="s">
        <v>64</v>
      </c>
      <c r="I3" s="27" t="s">
        <v>62</v>
      </c>
      <c r="J3" s="27" t="s">
        <v>63</v>
      </c>
      <c r="K3" s="27" t="s">
        <v>64</v>
      </c>
    </row>
    <row r="4" spans="2:11" ht="74.099999999999994" thickBot="1" x14ac:dyDescent="0.6">
      <c r="B4" s="28" t="s">
        <v>48</v>
      </c>
      <c r="C4" s="29" t="s">
        <v>184</v>
      </c>
      <c r="D4" s="29" t="s">
        <v>185</v>
      </c>
      <c r="E4" s="29" t="s">
        <v>203</v>
      </c>
      <c r="F4" s="29" t="s">
        <v>186</v>
      </c>
      <c r="G4" s="29" t="s">
        <v>66</v>
      </c>
      <c r="H4" s="29" t="s">
        <v>202</v>
      </c>
      <c r="I4" s="29" t="s">
        <v>199</v>
      </c>
      <c r="J4" s="29" t="s">
        <v>200</v>
      </c>
      <c r="K4" s="29" t="s">
        <v>201</v>
      </c>
    </row>
    <row r="5" spans="2:11" ht="24.95" thickBot="1" x14ac:dyDescent="0.6">
      <c r="B5" s="28" t="s">
        <v>49</v>
      </c>
      <c r="C5" s="29" t="s">
        <v>43</v>
      </c>
      <c r="D5" s="29" t="s">
        <v>188</v>
      </c>
      <c r="E5" s="29" t="s">
        <v>189</v>
      </c>
      <c r="F5" s="29" t="s">
        <v>67</v>
      </c>
      <c r="G5" s="29" t="s">
        <v>188</v>
      </c>
      <c r="H5" s="29" t="s">
        <v>189</v>
      </c>
      <c r="I5" s="29" t="s">
        <v>42</v>
      </c>
      <c r="J5" s="29" t="s">
        <v>190</v>
      </c>
      <c r="K5" s="29" t="s">
        <v>189</v>
      </c>
    </row>
    <row r="6" spans="2:11" ht="24.95" thickBot="1" x14ac:dyDescent="0.6">
      <c r="B6" s="28" t="s">
        <v>50</v>
      </c>
      <c r="C6" s="29" t="s">
        <v>65</v>
      </c>
      <c r="D6" s="29" t="s">
        <v>98</v>
      </c>
      <c r="E6" s="29" t="s">
        <v>101</v>
      </c>
      <c r="F6" s="29" t="s">
        <v>191</v>
      </c>
      <c r="G6" s="29" t="s">
        <v>191</v>
      </c>
      <c r="H6" s="29" t="s">
        <v>191</v>
      </c>
      <c r="I6" s="29" t="s">
        <v>65</v>
      </c>
      <c r="J6" s="29" t="s">
        <v>98</v>
      </c>
      <c r="K6" s="29" t="s">
        <v>101</v>
      </c>
    </row>
    <row r="7" spans="2:11" ht="39" thickBot="1" x14ac:dyDescent="0.3">
      <c r="B7" s="28" t="s">
        <v>51</v>
      </c>
      <c r="C7" s="29" t="s">
        <v>192</v>
      </c>
      <c r="D7" s="29" t="s">
        <v>193</v>
      </c>
      <c r="E7" s="29" t="s">
        <v>194</v>
      </c>
      <c r="F7" s="29" t="s">
        <v>191</v>
      </c>
      <c r="G7" s="29" t="s">
        <v>191</v>
      </c>
      <c r="H7" s="29" t="s">
        <v>191</v>
      </c>
      <c r="I7" s="29" t="s">
        <v>192</v>
      </c>
      <c r="J7" s="29" t="s">
        <v>193</v>
      </c>
      <c r="K7" s="29" t="s">
        <v>194</v>
      </c>
    </row>
    <row r="8" spans="2:11" ht="24.95" thickBot="1" x14ac:dyDescent="0.6">
      <c r="B8" s="28" t="s">
        <v>143</v>
      </c>
      <c r="C8" s="29" t="s">
        <v>65</v>
      </c>
      <c r="D8" s="29" t="s">
        <v>98</v>
      </c>
      <c r="E8" s="29" t="s">
        <v>101</v>
      </c>
      <c r="F8" s="29" t="s">
        <v>191</v>
      </c>
      <c r="G8" s="29" t="s">
        <v>191</v>
      </c>
      <c r="H8" s="29" t="s">
        <v>191</v>
      </c>
      <c r="I8" s="29" t="s">
        <v>65</v>
      </c>
      <c r="J8" s="29" t="s">
        <v>98</v>
      </c>
      <c r="K8" s="29" t="s">
        <v>101</v>
      </c>
    </row>
    <row r="9" spans="2:11" ht="14.85" thickBot="1" x14ac:dyDescent="0.6">
      <c r="B9" s="30" t="s">
        <v>52</v>
      </c>
      <c r="C9" s="31"/>
      <c r="D9" s="31"/>
      <c r="E9" s="31"/>
      <c r="F9" s="31"/>
      <c r="G9" s="31"/>
      <c r="H9" s="31"/>
      <c r="I9" s="31"/>
      <c r="J9" s="31"/>
      <c r="K9" s="31"/>
    </row>
    <row r="10" spans="2:11" ht="14.85" thickBot="1" x14ac:dyDescent="0.6">
      <c r="B10" s="32" t="s">
        <v>53</v>
      </c>
      <c r="C10" s="33" t="s">
        <v>46</v>
      </c>
      <c r="D10" s="33"/>
      <c r="E10" s="33"/>
      <c r="F10" s="33" t="s">
        <v>23</v>
      </c>
      <c r="G10" s="33"/>
      <c r="H10" s="33"/>
      <c r="I10" s="33" t="s">
        <v>23</v>
      </c>
      <c r="J10" s="33" t="s">
        <v>23</v>
      </c>
      <c r="K10" s="33" t="s">
        <v>23</v>
      </c>
    </row>
    <row r="11" spans="2:11" ht="24.95" thickBot="1" x14ac:dyDescent="0.6">
      <c r="B11" s="28" t="s">
        <v>54</v>
      </c>
      <c r="C11" s="29" t="s">
        <v>197</v>
      </c>
      <c r="D11" s="45" t="s">
        <v>195</v>
      </c>
      <c r="E11" s="45" t="s">
        <v>196</v>
      </c>
      <c r="F11" s="29" t="s">
        <v>198</v>
      </c>
      <c r="G11" s="45" t="s">
        <v>195</v>
      </c>
      <c r="H11" s="45" t="s">
        <v>196</v>
      </c>
      <c r="I11" s="29" t="s">
        <v>197</v>
      </c>
      <c r="J11" s="45" t="s">
        <v>195</v>
      </c>
      <c r="K11" s="45" t="s">
        <v>196</v>
      </c>
    </row>
    <row r="12" spans="2:11" ht="24.95" thickBot="1" x14ac:dyDescent="0.6">
      <c r="B12" s="28" t="s">
        <v>55</v>
      </c>
      <c r="C12" s="29" t="s">
        <v>197</v>
      </c>
      <c r="D12" s="45" t="s">
        <v>195</v>
      </c>
      <c r="E12" s="45" t="s">
        <v>196</v>
      </c>
      <c r="F12" s="29" t="s">
        <v>198</v>
      </c>
      <c r="G12" s="45" t="s">
        <v>195</v>
      </c>
      <c r="H12" s="45" t="s">
        <v>196</v>
      </c>
      <c r="I12" s="29" t="s">
        <v>197</v>
      </c>
      <c r="J12" s="45" t="s">
        <v>195</v>
      </c>
      <c r="K12" s="45" t="s">
        <v>196</v>
      </c>
    </row>
    <row r="13" spans="2:11" ht="24.95" thickBot="1" x14ac:dyDescent="0.6">
      <c r="B13" s="28" t="s">
        <v>56</v>
      </c>
      <c r="C13" s="29" t="s">
        <v>197</v>
      </c>
      <c r="D13" s="45" t="s">
        <v>195</v>
      </c>
      <c r="E13" s="45" t="s">
        <v>196</v>
      </c>
      <c r="F13" s="29" t="s">
        <v>198</v>
      </c>
      <c r="G13" s="45" t="s">
        <v>195</v>
      </c>
      <c r="H13" s="45" t="s">
        <v>196</v>
      </c>
      <c r="I13" s="29" t="s">
        <v>197</v>
      </c>
      <c r="J13" s="45" t="s">
        <v>195</v>
      </c>
      <c r="K13" s="45" t="s">
        <v>196</v>
      </c>
    </row>
    <row r="14" spans="2:11" ht="24.95" thickBot="1" x14ac:dyDescent="0.6">
      <c r="B14" s="28" t="s">
        <v>57</v>
      </c>
      <c r="C14" s="29" t="s">
        <v>43</v>
      </c>
      <c r="D14" s="29" t="s">
        <v>75</v>
      </c>
      <c r="E14" s="29" t="s">
        <v>43</v>
      </c>
      <c r="F14" s="29" t="s">
        <v>76</v>
      </c>
      <c r="G14" s="29" t="s">
        <v>77</v>
      </c>
      <c r="H14" s="29" t="s">
        <v>43</v>
      </c>
      <c r="I14" s="29" t="s">
        <v>42</v>
      </c>
      <c r="J14" s="29" t="s">
        <v>154</v>
      </c>
      <c r="K14" s="29" t="s">
        <v>43</v>
      </c>
    </row>
    <row r="15" spans="2:11" ht="24.95" thickBot="1" x14ac:dyDescent="0.6">
      <c r="B15" s="28" t="s">
        <v>58</v>
      </c>
      <c r="C15" s="29" t="s">
        <v>65</v>
      </c>
      <c r="D15" s="29" t="s">
        <v>98</v>
      </c>
      <c r="E15" s="29" t="s">
        <v>101</v>
      </c>
      <c r="F15" s="29" t="s">
        <v>191</v>
      </c>
      <c r="G15" s="29" t="s">
        <v>191</v>
      </c>
      <c r="H15" s="29" t="s">
        <v>191</v>
      </c>
      <c r="I15" s="29" t="s">
        <v>65</v>
      </c>
      <c r="J15" s="29" t="s">
        <v>98</v>
      </c>
      <c r="K15" s="29" t="s">
        <v>101</v>
      </c>
    </row>
    <row r="16" spans="2:11" ht="14.85" thickBot="1" x14ac:dyDescent="0.6">
      <c r="B16" s="30" t="s">
        <v>59</v>
      </c>
      <c r="C16" s="31"/>
      <c r="D16" s="31"/>
      <c r="E16" s="31"/>
      <c r="F16" s="31"/>
      <c r="G16" s="31"/>
      <c r="H16" s="31"/>
      <c r="I16" s="31"/>
      <c r="J16" s="31"/>
      <c r="K16" s="31"/>
    </row>
    <row r="17" spans="2:11" ht="14.85" thickBot="1" x14ac:dyDescent="0.6">
      <c r="B17" s="32" t="s">
        <v>60</v>
      </c>
      <c r="C17" s="33"/>
      <c r="D17" s="33"/>
      <c r="E17" s="33"/>
      <c r="F17" s="33"/>
      <c r="G17" s="33"/>
      <c r="H17" s="33"/>
      <c r="I17" s="33"/>
      <c r="J17" s="33"/>
      <c r="K17" s="33"/>
    </row>
    <row r="18" spans="2:11" ht="14.85" thickBot="1" x14ac:dyDescent="0.6">
      <c r="B18" s="30" t="s">
        <v>61</v>
      </c>
      <c r="C18" s="31"/>
      <c r="D18" s="31"/>
      <c r="E18" s="31"/>
      <c r="F18" s="31"/>
      <c r="G18" s="31"/>
      <c r="H18" s="31"/>
      <c r="I18" s="31"/>
      <c r="J18" s="31"/>
      <c r="K18"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heetViews>
  <sheetFormatPr defaultRowHeight="15" x14ac:dyDescent="0.25"/>
  <cols>
    <col min="2" max="2" width="32.28515625" customWidth="1"/>
  </cols>
  <sheetData>
    <row r="2" spans="2:3" x14ac:dyDescent="0.25">
      <c r="B2" s="108"/>
      <c r="C2" s="108" t="s">
        <v>222</v>
      </c>
    </row>
    <row r="3" spans="2:3" x14ac:dyDescent="0.25">
      <c r="B3" s="108" t="s">
        <v>223</v>
      </c>
      <c r="C3" s="108">
        <v>420.7</v>
      </c>
    </row>
    <row r="4" spans="2:3" ht="45" x14ac:dyDescent="0.25">
      <c r="B4" s="109" t="s">
        <v>224</v>
      </c>
      <c r="C4" s="108">
        <v>324.3</v>
      </c>
    </row>
    <row r="5" spans="2:3" x14ac:dyDescent="0.25">
      <c r="B5" s="108" t="s">
        <v>225</v>
      </c>
      <c r="C5" s="110">
        <f>C4-C3</f>
        <v>-96.399999999999977</v>
      </c>
    </row>
    <row r="6" spans="2:3" x14ac:dyDescent="0.25">
      <c r="B6" s="108" t="s">
        <v>226</v>
      </c>
      <c r="C6" s="111">
        <f>C4/C3-1</f>
        <v>-0.22914190634656517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pane xSplit="4" ySplit="3" topLeftCell="I4" activePane="bottomRight" state="frozen"/>
      <selection pane="topRight" activeCell="E1" sqref="E1"/>
      <selection pane="bottomLeft" activeCell="A4" sqref="A4"/>
      <selection pane="bottomRight"/>
    </sheetView>
  </sheetViews>
  <sheetFormatPr defaultRowHeight="15" x14ac:dyDescent="0.25"/>
  <cols>
    <col min="1" max="1" width="14.7109375" bestFit="1" customWidth="1"/>
    <col min="3" max="3" width="54.85546875" style="8" customWidth="1"/>
    <col min="4" max="4" width="25.85546875" customWidth="1"/>
    <col min="5" max="16" width="14.5703125" customWidth="1"/>
  </cols>
  <sheetData>
    <row r="1" spans="1:20" x14ac:dyDescent="0.25">
      <c r="A1" s="6" t="s">
        <v>38</v>
      </c>
      <c r="M1" s="115" t="s">
        <v>229</v>
      </c>
      <c r="N1" s="116"/>
      <c r="O1" s="116"/>
      <c r="P1" s="116"/>
    </row>
    <row r="3" spans="1:20" s="8" customFormat="1" ht="60.75" x14ac:dyDescent="0.25">
      <c r="A3" s="23"/>
      <c r="B3" s="11" t="s">
        <v>22</v>
      </c>
      <c r="C3" s="11" t="s">
        <v>21</v>
      </c>
      <c r="D3" s="11" t="s">
        <v>25</v>
      </c>
      <c r="E3" s="11" t="s">
        <v>26</v>
      </c>
      <c r="F3" s="11" t="s">
        <v>27</v>
      </c>
      <c r="G3" s="11" t="s">
        <v>28</v>
      </c>
      <c r="H3" s="11" t="s">
        <v>29</v>
      </c>
      <c r="I3" s="11" t="s">
        <v>30</v>
      </c>
      <c r="J3" s="11" t="s">
        <v>31</v>
      </c>
      <c r="K3" s="11" t="s">
        <v>32</v>
      </c>
      <c r="L3" s="11" t="s">
        <v>44</v>
      </c>
      <c r="M3" s="11" t="s">
        <v>33</v>
      </c>
      <c r="N3" s="11" t="s">
        <v>40</v>
      </c>
      <c r="O3" s="11" t="s">
        <v>34</v>
      </c>
      <c r="P3" s="11" t="s">
        <v>35</v>
      </c>
    </row>
    <row r="4" spans="1:20" x14ac:dyDescent="0.25">
      <c r="A4" s="11" t="s">
        <v>36</v>
      </c>
      <c r="B4" s="12">
        <v>1</v>
      </c>
      <c r="C4" s="13" t="s">
        <v>17</v>
      </c>
      <c r="D4" s="14" t="s">
        <v>7</v>
      </c>
      <c r="E4" s="15">
        <f>+Summary_working!B4</f>
        <v>-198.535834479301</v>
      </c>
      <c r="F4" s="15">
        <f>+Summary_working!C4</f>
        <v>-200.53537002986198</v>
      </c>
      <c r="G4" s="15">
        <f>+Summary_working!D4</f>
        <v>56.5447051251586</v>
      </c>
      <c r="H4" s="15">
        <f>+Summary_working!E4</f>
        <v>18729.431757168702</v>
      </c>
      <c r="I4" s="15">
        <f>+Summary_working!F4</f>
        <v>18964.322227948003</v>
      </c>
      <c r="J4" s="15">
        <f>+Summary_working!G4</f>
        <v>3492.8373862529202</v>
      </c>
      <c r="K4" s="15">
        <f>+Summary_working!H4</f>
        <v>3257.9469169700196</v>
      </c>
      <c r="L4" s="15">
        <f>+Summary_working!I4</f>
        <v>0</v>
      </c>
      <c r="M4" s="15">
        <f>+Summary_working!J4</f>
        <v>234.890470779304</v>
      </c>
      <c r="N4" s="15">
        <f>+Summary_working!K4</f>
        <v>-234.8904692829</v>
      </c>
      <c r="O4" s="15">
        <f>+Summary_working!L4</f>
        <v>-20.190068825155898</v>
      </c>
      <c r="P4" s="15">
        <f>+Summary_working!M4</f>
        <v>-22.189604375716499</v>
      </c>
    </row>
    <row r="5" spans="1:20" x14ac:dyDescent="0.25">
      <c r="A5" s="16"/>
      <c r="B5" s="4">
        <v>2</v>
      </c>
      <c r="C5" s="17" t="s">
        <v>19</v>
      </c>
      <c r="D5" s="5" t="s">
        <v>9</v>
      </c>
      <c r="E5" s="18">
        <f>+Summary_working!B5</f>
        <v>1190.7928160415202</v>
      </c>
      <c r="F5" s="18">
        <f>+Summary_working!C5</f>
        <v>-126.529691485009</v>
      </c>
      <c r="G5" s="18">
        <f>+Summary_working!D5</f>
        <v>117.906910566329</v>
      </c>
      <c r="H5" s="18">
        <f>+Summary_working!E5</f>
        <v>18729.431757168702</v>
      </c>
      <c r="I5" s="18">
        <f>+Summary_working!F5</f>
        <v>18944.379074649798</v>
      </c>
      <c r="J5" s="18">
        <f>+Summary_working!G5</f>
        <v>3492.8373862529202</v>
      </c>
      <c r="K5" s="18">
        <f>+Summary_working!H5</f>
        <v>3277.8900702682199</v>
      </c>
      <c r="L5" s="18">
        <f>+Summary_working!I5</f>
        <v>0</v>
      </c>
      <c r="M5" s="18">
        <f>+Summary_working!J5</f>
        <v>214.947317481098</v>
      </c>
      <c r="N5" s="18">
        <f>+Summary_working!K5</f>
        <v>-214.94731598469201</v>
      </c>
      <c r="O5" s="18">
        <f>+Summary_working!L5</f>
        <v>1287.83322295629</v>
      </c>
      <c r="P5" s="18">
        <f>+Summary_working!M5</f>
        <v>-29.4892845702405</v>
      </c>
    </row>
    <row r="6" spans="1:20" x14ac:dyDescent="0.25">
      <c r="A6" s="16"/>
      <c r="B6" s="4">
        <v>3</v>
      </c>
      <c r="C6" s="17" t="s">
        <v>18</v>
      </c>
      <c r="D6" s="5" t="s">
        <v>8</v>
      </c>
      <c r="E6" s="18">
        <f>+Summary_working!B6</f>
        <v>19.203879748406802</v>
      </c>
      <c r="F6" s="18">
        <f>+Summary_working!C6</f>
        <v>23.711879025813801</v>
      </c>
      <c r="G6" s="18">
        <f>+Summary_working!D6</f>
        <v>341.63522645485301</v>
      </c>
      <c r="H6" s="18">
        <f>+Summary_working!E6</f>
        <v>18729.431757168702</v>
      </c>
      <c r="I6" s="18">
        <f>+Summary_working!F6</f>
        <v>18964.322227948003</v>
      </c>
      <c r="J6" s="18">
        <f>+Summary_working!G6</f>
        <v>3492.8373862529202</v>
      </c>
      <c r="K6" s="18">
        <f>+Summary_working!H6</f>
        <v>3257.9469169700196</v>
      </c>
      <c r="L6" s="18">
        <f>+Summary_working!I6</f>
        <v>-200.54117376756099</v>
      </c>
      <c r="M6" s="18">
        <f>+Summary_working!J6</f>
        <v>234.890470779308</v>
      </c>
      <c r="N6" s="18">
        <f>+Summary_working!K6</f>
        <v>-234.8904692829</v>
      </c>
      <c r="O6" s="18">
        <f>+Summary_working!L6</f>
        <v>113.000297840423</v>
      </c>
      <c r="P6" s="18">
        <f>+Summary_working!M6</f>
        <v>117.50829711783</v>
      </c>
    </row>
    <row r="7" spans="1:20" x14ac:dyDescent="0.25">
      <c r="A7" s="16"/>
      <c r="B7" s="4">
        <v>4</v>
      </c>
      <c r="C7" s="17" t="s">
        <v>20</v>
      </c>
      <c r="D7" s="5" t="s">
        <v>10</v>
      </c>
      <c r="E7" s="18">
        <f>+Summary_working!B7</f>
        <v>-312.11058885889099</v>
      </c>
      <c r="F7" s="18">
        <f>+Summary_working!C7</f>
        <v>-316.24598159732</v>
      </c>
      <c r="G7" s="18">
        <f>+Summary_working!D7</f>
        <v>66.702996369459498</v>
      </c>
      <c r="H7" s="18">
        <f>+Summary_working!E7</f>
        <v>19312.306574190101</v>
      </c>
      <c r="I7" s="18">
        <f>+Summary_working!F7</f>
        <v>19709.565977557799</v>
      </c>
      <c r="J7" s="18">
        <f>+Summary_working!G7</f>
        <v>3716.0701421845597</v>
      </c>
      <c r="K7" s="18">
        <f>+Summary_working!H7</f>
        <v>3318.81074034622</v>
      </c>
      <c r="L7" s="18">
        <f>+Summary_working!I7</f>
        <v>0</v>
      </c>
      <c r="M7" s="18">
        <f>+Summary_working!J7</f>
        <v>397.25940336764097</v>
      </c>
      <c r="N7" s="18">
        <f>+Summary_working!K7</f>
        <v>-397.259401838332</v>
      </c>
      <c r="O7" s="18">
        <f>+Summary_working!L7</f>
        <v>18.445818139290601</v>
      </c>
      <c r="P7" s="18">
        <f>+Summary_working!M7</f>
        <v>14.3104254008616</v>
      </c>
    </row>
    <row r="8" spans="1:20" x14ac:dyDescent="0.25">
      <c r="A8" s="16"/>
      <c r="B8" s="4">
        <v>5</v>
      </c>
      <c r="C8" s="17" t="s">
        <v>16</v>
      </c>
      <c r="D8" s="5" t="s">
        <v>2</v>
      </c>
      <c r="E8" s="18">
        <f>+Summary_working!B8</f>
        <v>4370.2516145323098</v>
      </c>
      <c r="F8" s="18">
        <f>+Summary_working!C8</f>
        <v>50.787566160272206</v>
      </c>
      <c r="G8" s="18">
        <f>+Summary_working!D8</f>
        <v>420.69589603789802</v>
      </c>
      <c r="H8" s="18">
        <f>+Summary_working!E8</f>
        <v>19312.306574190101</v>
      </c>
      <c r="I8" s="18">
        <f>+Summary_working!F8</f>
        <v>19680.546157073397</v>
      </c>
      <c r="J8" s="18">
        <f>+Summary_working!G8</f>
        <v>3716.0701421845497</v>
      </c>
      <c r="K8" s="18">
        <f>+Summary_working!H8</f>
        <v>3347.83056083056</v>
      </c>
      <c r="L8" s="18">
        <f>+Summary_working!I8</f>
        <v>-201.52188836770497</v>
      </c>
      <c r="M8" s="18">
        <f>+Summary_working!J8</f>
        <v>368.239582883293</v>
      </c>
      <c r="N8" s="18">
        <f>+Summary_working!K8</f>
        <v>-368.23958135398902</v>
      </c>
      <c r="O8" s="18">
        <f>+Summary_working!L8</f>
        <v>4519.3171897454104</v>
      </c>
      <c r="P8" s="18">
        <f>+Summary_working!M8</f>
        <v>199.85314137337301</v>
      </c>
      <c r="Q8" t="s">
        <v>228</v>
      </c>
    </row>
    <row r="9" spans="1:20" x14ac:dyDescent="0.25">
      <c r="A9" s="16"/>
      <c r="B9" s="4">
        <v>6</v>
      </c>
      <c r="C9" s="17" t="s">
        <v>206</v>
      </c>
      <c r="D9" s="5" t="s">
        <v>205</v>
      </c>
      <c r="E9" s="18">
        <f>+Summary_working!B9</f>
        <v>4575.10988689444</v>
      </c>
      <c r="F9" s="18">
        <f>+Summary_working!C9</f>
        <v>135.87286026874901</v>
      </c>
      <c r="G9" s="18">
        <f>+Summary_working!D9</f>
        <v>344.15009154361201</v>
      </c>
      <c r="H9" s="18">
        <f>+Summary_working!E9</f>
        <v>18729.431757168702</v>
      </c>
      <c r="I9" s="18">
        <f>+Summary_working!F9</f>
        <v>18874.340847511099</v>
      </c>
      <c r="J9" s="18">
        <f>+Summary_working!G9</f>
        <v>3492.8373862529202</v>
      </c>
      <c r="K9" s="18">
        <f>+Summary_working!H9</f>
        <v>3347.9282975852998</v>
      </c>
      <c r="L9" s="18">
        <f>+Summary_working!I9</f>
        <v>-149.67189242619801</v>
      </c>
      <c r="M9" s="18">
        <f>+Summary_working!J9</f>
        <v>144.909090342399</v>
      </c>
      <c r="N9" s="18">
        <f>+Summary_working!K9</f>
        <v>-144.909088667616</v>
      </c>
      <c r="O9" s="18">
        <f>+Summary_working!L9</f>
        <v>4525.5407781194199</v>
      </c>
      <c r="P9" s="18">
        <f>+Summary_working!M9</f>
        <v>86.303751493734893</v>
      </c>
    </row>
    <row r="10" spans="1:20" x14ac:dyDescent="0.25">
      <c r="A10" s="19"/>
      <c r="B10" s="2">
        <v>7</v>
      </c>
      <c r="C10" s="20" t="s">
        <v>177</v>
      </c>
      <c r="D10" s="3" t="s">
        <v>14</v>
      </c>
      <c r="E10" s="21">
        <f>+Summary_working!B10</f>
        <v>4834.3275500255204</v>
      </c>
      <c r="F10" s="21">
        <f>+Summary_working!C10</f>
        <v>135.76483614491002</v>
      </c>
      <c r="G10" s="21">
        <f>+Summary_working!D10</f>
        <v>351.69954653679901</v>
      </c>
      <c r="H10" s="21">
        <f>+Summary_working!E10</f>
        <v>18865.344839741403</v>
      </c>
      <c r="I10" s="21">
        <f>+Summary_working!F10</f>
        <v>19051.5127820415</v>
      </c>
      <c r="J10" s="21">
        <f>+Summary_working!G10</f>
        <v>3492.8373862529202</v>
      </c>
      <c r="K10" s="21">
        <f>+Summary_working!H10</f>
        <v>3279.6227420145401</v>
      </c>
      <c r="L10" s="21">
        <f>+Summary_working!I10</f>
        <v>-168.47352437330898</v>
      </c>
      <c r="M10" s="21">
        <f>+Summary_working!J10</f>
        <v>186.16794230009799</v>
      </c>
      <c r="N10" s="21">
        <f>+Summary_working!K10</f>
        <v>-213.214644238376</v>
      </c>
      <c r="O10" s="21">
        <f>+Summary_working!L10</f>
        <v>4837.2694701621303</v>
      </c>
      <c r="P10" s="21">
        <f>+Summary_working!M10</f>
        <v>138.70675628151901</v>
      </c>
      <c r="Q10" s="62"/>
      <c r="S10" s="62"/>
      <c r="T10" s="62"/>
    </row>
    <row r="11" spans="1:20" x14ac:dyDescent="0.25">
      <c r="A11" s="16" t="s">
        <v>23</v>
      </c>
      <c r="B11" s="4">
        <v>8</v>
      </c>
      <c r="C11" s="17" t="s">
        <v>176</v>
      </c>
      <c r="D11" s="5" t="s">
        <v>12</v>
      </c>
      <c r="E11" s="18">
        <f>+Summary_working!B11</f>
        <v>4.7697503784764992</v>
      </c>
      <c r="F11" s="18">
        <f>+Summary_working!C11</f>
        <v>4.0529253280545499</v>
      </c>
      <c r="G11" s="18">
        <f>+Summary_working!D11</f>
        <v>8.0042401789675193</v>
      </c>
      <c r="H11" s="18">
        <f>+Summary_working!E11</f>
        <v>19312.306574190101</v>
      </c>
      <c r="I11" s="18">
        <f>+Summary_working!F11</f>
        <v>19312.306574190101</v>
      </c>
      <c r="J11" s="18">
        <f>+Summary_working!G11</f>
        <v>3716.0701421845597</v>
      </c>
      <c r="K11" s="18">
        <f>+Summary_working!H11</f>
        <v>3716.0701421845597</v>
      </c>
      <c r="L11" s="18">
        <f>+Summary_working!I11</f>
        <v>0</v>
      </c>
      <c r="M11" s="18">
        <f>+Summary_working!J11</f>
        <v>0</v>
      </c>
      <c r="N11" s="18">
        <f>+Summary_working!K11</f>
        <v>-1.43051147460937E-12</v>
      </c>
      <c r="O11" s="18">
        <f>+Summary_working!L11</f>
        <v>-3.2344898004910201</v>
      </c>
      <c r="P11" s="18">
        <f>+Summary_working!M11</f>
        <v>-3.9513148509129596</v>
      </c>
    </row>
    <row r="12" spans="1:20" x14ac:dyDescent="0.25">
      <c r="A12" s="16"/>
      <c r="B12" s="4">
        <v>9</v>
      </c>
      <c r="C12" s="17" t="s">
        <v>178</v>
      </c>
      <c r="D12" s="5" t="s">
        <v>4</v>
      </c>
      <c r="E12" s="18">
        <f>+Summary_working!B12</f>
        <v>3229.0703852378201</v>
      </c>
      <c r="F12" s="18">
        <f>+Summary_working!C12</f>
        <v>320.56979173175699</v>
      </c>
      <c r="G12" s="18">
        <f>+Summary_working!D12</f>
        <v>341.91252746149598</v>
      </c>
      <c r="H12" s="18">
        <f>+Summary_working!E12</f>
        <v>19312.306574190101</v>
      </c>
      <c r="I12" s="18">
        <f>+Summary_working!F12</f>
        <v>19312.306574190101</v>
      </c>
      <c r="J12" s="18">
        <f>+Summary_working!G12</f>
        <v>3716.0701421845497</v>
      </c>
      <c r="K12" s="18">
        <f>+Summary_working!H12</f>
        <v>3716.0701421845497</v>
      </c>
      <c r="L12" s="18">
        <f>+Summary_working!I12</f>
        <v>-222.436517734126</v>
      </c>
      <c r="M12" s="18">
        <f>+Summary_working!J12</f>
        <v>-3.8146972656249998E-12</v>
      </c>
      <c r="N12" s="18">
        <f>+Summary_working!K12</f>
        <v>0</v>
      </c>
      <c r="O12" s="18">
        <f>+Summary_working!L12</f>
        <v>3109.5943755104499</v>
      </c>
      <c r="P12" s="18">
        <f>+Summary_working!M12</f>
        <v>201.093782004383</v>
      </c>
    </row>
    <row r="13" spans="1:20" x14ac:dyDescent="0.25">
      <c r="A13" s="11" t="s">
        <v>37</v>
      </c>
      <c r="B13" s="12">
        <v>10</v>
      </c>
      <c r="C13" s="13" t="s">
        <v>179</v>
      </c>
      <c r="D13" s="14" t="s">
        <v>3</v>
      </c>
      <c r="E13" s="15">
        <f>+Summary_working!B13</f>
        <v>4531.8319888692995</v>
      </c>
      <c r="F13" s="15">
        <f>+Summary_working!C13</f>
        <v>116.30920143552899</v>
      </c>
      <c r="G13" s="15">
        <f>+Summary_working!D13</f>
        <v>422.16954425417697</v>
      </c>
      <c r="H13" s="15">
        <f>+Summary_working!E13</f>
        <v>19312.306574190101</v>
      </c>
      <c r="I13" s="15">
        <f>+Summary_working!F13</f>
        <v>19607.362560787202</v>
      </c>
      <c r="J13" s="15">
        <f>+Summary_working!G13</f>
        <v>3716.0701421845497</v>
      </c>
      <c r="K13" s="15">
        <f>+Summary_working!H13</f>
        <v>3421.0141569935399</v>
      </c>
      <c r="L13" s="15">
        <f>+Summary_working!I13</f>
        <v>-201.53480651679999</v>
      </c>
      <c r="M13" s="15">
        <f>+Summary_working!J13</f>
        <v>295.055986597095</v>
      </c>
      <c r="N13" s="15">
        <f>+Summary_working!K13</f>
        <v>-295.055985191015</v>
      </c>
      <c r="O13" s="15">
        <f>+Summary_working!L13</f>
        <v>4606.2532377290199</v>
      </c>
      <c r="P13" s="15">
        <f>+Summary_working!M13</f>
        <v>190.73045029524698</v>
      </c>
    </row>
    <row r="14" spans="1:20" x14ac:dyDescent="0.25">
      <c r="A14" s="16"/>
      <c r="B14" s="4">
        <v>11</v>
      </c>
      <c r="C14" s="17" t="s">
        <v>180</v>
      </c>
      <c r="D14" s="5" t="s">
        <v>13</v>
      </c>
      <c r="E14" s="18">
        <f>+Summary_working!B14</f>
        <v>3832.2586854168503</v>
      </c>
      <c r="F14" s="18">
        <f>+Summary_working!C14</f>
        <v>-526.28251091723098</v>
      </c>
      <c r="G14" s="18">
        <f>+Summary_working!D14</f>
        <v>412.40411367656998</v>
      </c>
      <c r="H14" s="18">
        <f>+Summary_working!E14</f>
        <v>19312.306574190101</v>
      </c>
      <c r="I14" s="18">
        <f>+Summary_working!F14</f>
        <v>20245.9043845173</v>
      </c>
      <c r="J14" s="18">
        <f>+Summary_working!G14</f>
        <v>3716.0701421845497</v>
      </c>
      <c r="K14" s="18">
        <f>+Summary_working!H14</f>
        <v>2782.4723319359196</v>
      </c>
      <c r="L14" s="18">
        <f>+Summary_working!I14</f>
        <v>-201.56641030684702</v>
      </c>
      <c r="M14" s="18">
        <f>+Summary_working!J14</f>
        <v>933.59781032717501</v>
      </c>
      <c r="N14" s="18">
        <f>+Summary_working!K14</f>
        <v>-933.59781024863298</v>
      </c>
      <c r="O14" s="18">
        <f>+Summary_working!L14</f>
        <v>4555.0187923742997</v>
      </c>
      <c r="P14" s="18">
        <f>+Summary_working!M14</f>
        <v>196.47759604022102</v>
      </c>
    </row>
    <row r="15" spans="1:20" x14ac:dyDescent="0.25">
      <c r="A15" s="16"/>
      <c r="B15" s="4">
        <v>12</v>
      </c>
      <c r="C15" s="22" t="s">
        <v>39</v>
      </c>
      <c r="D15" s="5" t="s">
        <v>11</v>
      </c>
      <c r="E15" s="18">
        <f>+Summary_working!B15</f>
        <v>-768.57547822665299</v>
      </c>
      <c r="F15" s="18">
        <f>+Summary_working!C15</f>
        <v>-775.77712167704999</v>
      </c>
      <c r="G15" s="18">
        <f>+Summary_working!D15</f>
        <v>54.260169575154301</v>
      </c>
      <c r="H15" s="18">
        <f>+Summary_working!E15</f>
        <v>18729.431757168702</v>
      </c>
      <c r="I15" s="18">
        <f>+Summary_working!F15</f>
        <v>19530.756014136299</v>
      </c>
      <c r="J15" s="18">
        <f>+Summary_working!G15</f>
        <v>3492.8373862529202</v>
      </c>
      <c r="K15" s="18">
        <f>+Summary_working!H15</f>
        <v>2691.5131293309596</v>
      </c>
      <c r="L15" s="18">
        <f>+Summary_working!I15</f>
        <v>0</v>
      </c>
      <c r="M15" s="18">
        <f>+Summary_working!J15</f>
        <v>801.32425696758196</v>
      </c>
      <c r="N15" s="18">
        <f>+Summary_working!K15</f>
        <v>-801.32425692195795</v>
      </c>
      <c r="O15" s="18">
        <f>+Summary_working!L15</f>
        <v>-21.511390834225402</v>
      </c>
      <c r="P15" s="18">
        <f>+Summary_working!M15</f>
        <v>-28.713034284622402</v>
      </c>
    </row>
    <row r="16" spans="1:20" x14ac:dyDescent="0.25">
      <c r="A16" s="16"/>
      <c r="B16" s="4">
        <v>13</v>
      </c>
      <c r="C16" s="17" t="s">
        <v>181</v>
      </c>
      <c r="D16" s="5" t="s">
        <v>1</v>
      </c>
      <c r="E16" s="18">
        <f>+Summary_working!B16</f>
        <v>4276.5182806829698</v>
      </c>
      <c r="F16" s="18">
        <f>+Summary_working!C16</f>
        <v>-42.671190802165299</v>
      </c>
      <c r="G16" s="18">
        <f>+Summary_working!D16</f>
        <v>419.15352230181497</v>
      </c>
      <c r="H16" s="18">
        <f>+Summary_working!E16</f>
        <v>19312.306574190101</v>
      </c>
      <c r="I16" s="18">
        <f>+Summary_working!F16</f>
        <v>19774.096017263098</v>
      </c>
      <c r="J16" s="18">
        <f>+Summary_working!G16</f>
        <v>3716.0701421845497</v>
      </c>
      <c r="K16" s="18">
        <f>+Summary_working!H16</f>
        <v>3254.2807006408702</v>
      </c>
      <c r="L16" s="18">
        <f>+Summary_working!I16</f>
        <v>-201.52517896169098</v>
      </c>
      <c r="M16" s="18">
        <f>+Summary_working!J16</f>
        <v>461.789443072994</v>
      </c>
      <c r="N16" s="18">
        <f>+Summary_working!K16</f>
        <v>-461.78944154368105</v>
      </c>
      <c r="O16" s="18">
        <f>+Summary_working!L16</f>
        <v>4520.6793804158406</v>
      </c>
      <c r="P16" s="18">
        <f>+Summary_working!M16</f>
        <v>201.48990893070399</v>
      </c>
    </row>
    <row r="17" spans="1:16" x14ac:dyDescent="0.25">
      <c r="A17" s="16"/>
      <c r="B17" s="4">
        <v>14</v>
      </c>
      <c r="C17" s="17" t="s">
        <v>182</v>
      </c>
      <c r="D17" s="5" t="s">
        <v>5</v>
      </c>
      <c r="E17" s="18">
        <f>+Summary_working!B17</f>
        <v>5531.4498985167802</v>
      </c>
      <c r="F17" s="18">
        <f>+Summary_working!C17</f>
        <v>707.55759934013611</v>
      </c>
      <c r="G17" s="18">
        <f>+Summary_working!D17</f>
        <v>446.81142398275796</v>
      </c>
      <c r="H17" s="18">
        <f>+Summary_working!E17</f>
        <v>19312.306574190101</v>
      </c>
      <c r="I17" s="18">
        <f>+Summary_working!F17</f>
        <v>19047.143635728098</v>
      </c>
      <c r="J17" s="18">
        <f>+Summary_working!G17</f>
        <v>3716.0701421845497</v>
      </c>
      <c r="K17" s="18">
        <f>+Summary_working!H17</f>
        <v>3981.2330821758801</v>
      </c>
      <c r="L17" s="18">
        <f>+Summary_working!I17</f>
        <v>-200.56951218087599</v>
      </c>
      <c r="M17" s="18">
        <f>+Summary_working!J17</f>
        <v>-265.16293846200904</v>
      </c>
      <c r="N17" s="18">
        <f>+Summary_working!K17</f>
        <v>265.16293999132102</v>
      </c>
      <c r="O17" s="18">
        <f>+Summary_working!L17</f>
        <v>5020.0450482528895</v>
      </c>
      <c r="P17" s="18">
        <f>+Summary_working!M17</f>
        <v>196.15274907624502</v>
      </c>
    </row>
    <row r="18" spans="1:16" x14ac:dyDescent="0.25">
      <c r="A18" s="19"/>
      <c r="B18" s="2">
        <v>15</v>
      </c>
      <c r="C18" s="20" t="s">
        <v>183</v>
      </c>
      <c r="D18" s="3" t="s">
        <v>6</v>
      </c>
      <c r="E18" s="21">
        <f>+Summary_working!B18</f>
        <v>2216.7178800449601</v>
      </c>
      <c r="F18" s="21">
        <f>+Summary_working!C18</f>
        <v>82.957513079116708</v>
      </c>
      <c r="G18" s="21">
        <f>+Summary_working!D18</f>
        <v>90.921778239960403</v>
      </c>
      <c r="H18" s="21">
        <f>+Summary_working!E18</f>
        <v>19312.306574190101</v>
      </c>
      <c r="I18" s="21">
        <f>+Summary_working!F18</f>
        <v>19683.706291797</v>
      </c>
      <c r="J18" s="21">
        <f>+Summary_working!G18</f>
        <v>3716.0701421845497</v>
      </c>
      <c r="K18" s="21">
        <f>+Summary_working!H18</f>
        <v>3344.6704261069999</v>
      </c>
      <c r="L18" s="21">
        <f>+Summary_working!I18</f>
        <v>-215.54167005259799</v>
      </c>
      <c r="M18" s="21">
        <f>+Summary_working!J18</f>
        <v>371.399717606857</v>
      </c>
      <c r="N18" s="21">
        <f>+Summary_working!K18</f>
        <v>-371.39971607755103</v>
      </c>
      <c r="O18" s="21">
        <f>+Summary_working!L18</f>
        <v>2712.7374894644599</v>
      </c>
      <c r="P18" s="21">
        <f>+Summary_working!M18</f>
        <v>578.97712249861206</v>
      </c>
    </row>
    <row r="19" spans="1:16" x14ac:dyDescent="0.25">
      <c r="B19" s="1"/>
      <c r="C19" s="7"/>
      <c r="D19" s="1"/>
      <c r="E19" s="1"/>
      <c r="F19" s="1"/>
      <c r="G19" s="1"/>
      <c r="H19" s="1"/>
      <c r="I19" s="1"/>
      <c r="J19" s="1"/>
      <c r="K19" s="1"/>
      <c r="L19" s="1"/>
      <c r="M19" s="1"/>
      <c r="N19" s="1"/>
      <c r="O19" s="1"/>
      <c r="P19" s="1"/>
    </row>
    <row r="20" spans="1:16" x14ac:dyDescent="0.25">
      <c r="F20" s="62"/>
    </row>
    <row r="21" spans="1:16" x14ac:dyDescent="0.25">
      <c r="F21" s="62"/>
    </row>
    <row r="22" spans="1:16" x14ac:dyDescent="0.25">
      <c r="B22" s="6" t="s">
        <v>174</v>
      </c>
    </row>
    <row r="23" spans="1:16" x14ac:dyDescent="0.25">
      <c r="C23" s="9" t="s">
        <v>36</v>
      </c>
    </row>
    <row r="24" spans="1:16" s="8" customFormat="1" ht="60.75" x14ac:dyDescent="0.25">
      <c r="A24" s="24"/>
      <c r="B24" s="10" t="s">
        <v>22</v>
      </c>
      <c r="C24" s="10" t="s">
        <v>21</v>
      </c>
      <c r="D24" s="10" t="s">
        <v>25</v>
      </c>
      <c r="E24" s="10" t="s">
        <v>26</v>
      </c>
      <c r="F24" s="10" t="s">
        <v>27</v>
      </c>
      <c r="G24" s="10" t="s">
        <v>28</v>
      </c>
      <c r="H24" s="10" t="s">
        <v>29</v>
      </c>
      <c r="I24" s="10" t="s">
        <v>30</v>
      </c>
      <c r="J24" s="10" t="s">
        <v>31</v>
      </c>
      <c r="K24" s="10" t="s">
        <v>32</v>
      </c>
      <c r="L24" s="10" t="s">
        <v>44</v>
      </c>
      <c r="M24" s="10" t="s">
        <v>33</v>
      </c>
      <c r="N24" s="10" t="s">
        <v>40</v>
      </c>
      <c r="O24" s="10" t="s">
        <v>34</v>
      </c>
      <c r="P24" s="10" t="s">
        <v>35</v>
      </c>
    </row>
    <row r="25" spans="1:16" x14ac:dyDescent="0.25">
      <c r="A25" s="11" t="s">
        <v>36</v>
      </c>
      <c r="B25" s="12">
        <v>1</v>
      </c>
      <c r="C25" s="13" t="s">
        <v>17</v>
      </c>
      <c r="D25" s="14" t="s">
        <v>7</v>
      </c>
      <c r="E25" s="15">
        <f>+Summary_working!B22</f>
        <v>1188.60807755122</v>
      </c>
      <c r="F25" s="15">
        <f>+Summary_working!C22</f>
        <v>1194.5608761988699</v>
      </c>
      <c r="G25" s="15">
        <f>+Summary_working!D22</f>
        <v>56.5447051251586</v>
      </c>
      <c r="H25" s="15">
        <f>+Summary_working!E22</f>
        <v>18729.431757168702</v>
      </c>
      <c r="I25" s="15">
        <f>+Summary_working!F22</f>
        <v>18964.322227948003</v>
      </c>
      <c r="J25" s="15">
        <f>+Summary_working!G22</f>
        <v>3492.8373862529202</v>
      </c>
      <c r="K25" s="15">
        <f>+Summary_working!H22</f>
        <v>3257.9469169700196</v>
      </c>
      <c r="L25" s="15">
        <f>+Summary_working!I22</f>
        <v>0</v>
      </c>
      <c r="M25" s="15">
        <f>+Summary_working!J22</f>
        <v>234.890470779304</v>
      </c>
      <c r="N25" s="15">
        <f>+Summary_working!K22</f>
        <v>-234.8904692829</v>
      </c>
      <c r="O25" s="15">
        <f>+Summary_working!L22</f>
        <v>1366.95384320536</v>
      </c>
      <c r="P25" s="15">
        <f>+Summary_working!M22</f>
        <v>1372.9066418530199</v>
      </c>
    </row>
    <row r="26" spans="1:16" x14ac:dyDescent="0.25">
      <c r="A26" s="16"/>
      <c r="B26" s="4">
        <v>2</v>
      </c>
      <c r="C26" s="17" t="s">
        <v>19</v>
      </c>
      <c r="D26" s="5" t="s">
        <v>9</v>
      </c>
      <c r="E26" s="18">
        <f>+Summary_working!B23</f>
        <v>2121.26690911483</v>
      </c>
      <c r="F26" s="18">
        <f>+Summary_working!C23</f>
        <v>1238.2124344728702</v>
      </c>
      <c r="G26" s="18">
        <f>+Summary_working!D23</f>
        <v>117.906910566329</v>
      </c>
      <c r="H26" s="18">
        <f>+Summary_working!E23</f>
        <v>18729.431757168702</v>
      </c>
      <c r="I26" s="18">
        <f>+Summary_working!F23</f>
        <v>18944.379074649798</v>
      </c>
      <c r="J26" s="18">
        <f>+Summary_working!G23</f>
        <v>3492.8373862529202</v>
      </c>
      <c r="K26" s="18">
        <f>+Summary_working!H23</f>
        <v>3277.8900702682199</v>
      </c>
      <c r="L26" s="18">
        <f>+Summary_working!I23</f>
        <v>0</v>
      </c>
      <c r="M26" s="18">
        <f>+Summary_working!J23</f>
        <v>214.947317481098</v>
      </c>
      <c r="N26" s="18">
        <f>+Summary_working!K23</f>
        <v>-214.94731598469201</v>
      </c>
      <c r="O26" s="18">
        <f>+Summary_working!L23</f>
        <v>2218.3073160296003</v>
      </c>
      <c r="P26" s="18">
        <f>+Summary_working!M23</f>
        <v>1335.25284138764</v>
      </c>
    </row>
    <row r="27" spans="1:16" x14ac:dyDescent="0.25">
      <c r="A27" s="16"/>
      <c r="B27" s="4">
        <v>3</v>
      </c>
      <c r="C27" s="17" t="s">
        <v>18</v>
      </c>
      <c r="D27" s="5" t="s">
        <v>8</v>
      </c>
      <c r="E27" s="18">
        <f>+Summary_working!B24</f>
        <v>1258.7675448948901</v>
      </c>
      <c r="F27" s="18">
        <f>+Summary_working!C24</f>
        <v>1301.1306705283998</v>
      </c>
      <c r="G27" s="18">
        <f>+Summary_working!D24</f>
        <v>341.63522645485301</v>
      </c>
      <c r="H27" s="18">
        <f>+Summary_working!E24</f>
        <v>18729.431757168702</v>
      </c>
      <c r="I27" s="18">
        <f>+Summary_working!F24</f>
        <v>18964.322227948003</v>
      </c>
      <c r="J27" s="18">
        <f>+Summary_working!G24</f>
        <v>3492.8373862529202</v>
      </c>
      <c r="K27" s="18">
        <f>+Summary_working!H24</f>
        <v>3257.9469169700196</v>
      </c>
      <c r="L27" s="18">
        <f>+Summary_working!I24</f>
        <v>-200.54117376756099</v>
      </c>
      <c r="M27" s="18">
        <f>+Summary_working!J24</f>
        <v>234.890470779308</v>
      </c>
      <c r="N27" s="18">
        <f>+Summary_working!K24</f>
        <v>-234.8904692829</v>
      </c>
      <c r="O27" s="18">
        <f>+Summary_working!L24</f>
        <v>1352.5639629869002</v>
      </c>
      <c r="P27" s="18">
        <f>+Summary_working!M24</f>
        <v>1394.9270886204099</v>
      </c>
    </row>
    <row r="28" spans="1:16" x14ac:dyDescent="0.25">
      <c r="A28" s="16"/>
      <c r="B28" s="4">
        <v>4</v>
      </c>
      <c r="C28" s="17" t="s">
        <v>20</v>
      </c>
      <c r="D28" s="5" t="s">
        <v>10</v>
      </c>
      <c r="E28" s="18">
        <f>+Summary_working!B25</f>
        <v>1322.6045443519399</v>
      </c>
      <c r="F28" s="18">
        <f>+Summary_working!C25</f>
        <v>1327.85240227176</v>
      </c>
      <c r="G28" s="18">
        <f>+Summary_working!D25</f>
        <v>66.702996369459498</v>
      </c>
      <c r="H28" s="18">
        <f>+Summary_working!E25</f>
        <v>19312.306574190101</v>
      </c>
      <c r="I28" s="18">
        <f>+Summary_working!F25</f>
        <v>19709.565977557799</v>
      </c>
      <c r="J28" s="18">
        <f>+Summary_working!G25</f>
        <v>3716.0701421845597</v>
      </c>
      <c r="K28" s="18">
        <f>+Summary_working!H25</f>
        <v>3318.81074034622</v>
      </c>
      <c r="L28" s="18">
        <f>+Summary_working!I25</f>
        <v>0</v>
      </c>
      <c r="M28" s="18">
        <f>+Summary_working!J25</f>
        <v>397.25940336764097</v>
      </c>
      <c r="N28" s="18">
        <f>+Summary_working!K25</f>
        <v>-397.259401838332</v>
      </c>
      <c r="O28" s="18">
        <f>+Summary_working!L25</f>
        <v>1653.1609513501301</v>
      </c>
      <c r="P28" s="18">
        <f>+Summary_working!M25</f>
        <v>1658.4088092699399</v>
      </c>
    </row>
    <row r="29" spans="1:16" x14ac:dyDescent="0.25">
      <c r="A29" s="16"/>
      <c r="B29" s="4">
        <v>5</v>
      </c>
      <c r="C29" s="17" t="s">
        <v>16</v>
      </c>
      <c r="D29" s="5" t="s">
        <v>2</v>
      </c>
      <c r="E29" s="18">
        <f>+Summary_working!B26</f>
        <v>5309.4137131081798</v>
      </c>
      <c r="F29" s="18">
        <f>+Summary_working!C26</f>
        <v>1735.49781205616</v>
      </c>
      <c r="G29" s="18">
        <f>+Summary_working!D26</f>
        <v>420.69589603789802</v>
      </c>
      <c r="H29" s="18">
        <f>+Summary_working!E26</f>
        <v>19312.306574190101</v>
      </c>
      <c r="I29" s="18">
        <f>+Summary_working!F26</f>
        <v>19680.546157073397</v>
      </c>
      <c r="J29" s="18">
        <f>+Summary_working!G26</f>
        <v>3716.0701421845497</v>
      </c>
      <c r="K29" s="18">
        <f>+Summary_working!H26</f>
        <v>3347.83056083056</v>
      </c>
      <c r="L29" s="18">
        <f>+Summary_working!I26</f>
        <v>-201.52188836770497</v>
      </c>
      <c r="M29" s="18">
        <f>+Summary_working!J26</f>
        <v>368.239582883293</v>
      </c>
      <c r="N29" s="18">
        <f>+Summary_working!K26</f>
        <v>-368.23958135398902</v>
      </c>
      <c r="O29" s="18">
        <f>+Summary_working!L26</f>
        <v>5458.4792883212795</v>
      </c>
      <c r="P29" s="18">
        <f>+Summary_working!M26</f>
        <v>1884.5633872692599</v>
      </c>
    </row>
    <row r="30" spans="1:16" x14ac:dyDescent="0.25">
      <c r="A30" s="16"/>
      <c r="B30" s="4">
        <v>6</v>
      </c>
      <c r="C30" s="17" t="s">
        <v>206</v>
      </c>
      <c r="D30" s="5" t="s">
        <v>205</v>
      </c>
      <c r="E30" s="18">
        <f>+Summary_working!B27</f>
        <v>5353.0931774917799</v>
      </c>
      <c r="F30" s="18">
        <f>+Summary_working!C27</f>
        <v>1494.58918892222</v>
      </c>
      <c r="G30" s="18">
        <f>+Summary_working!D27</f>
        <v>344.15009154361201</v>
      </c>
      <c r="H30" s="18">
        <f>+Summary_working!E27</f>
        <v>18729.431757168702</v>
      </c>
      <c r="I30" s="18">
        <f>+Summary_working!F27</f>
        <v>18874.340847511099</v>
      </c>
      <c r="J30" s="18">
        <f>+Summary_working!G27</f>
        <v>3492.8373862529202</v>
      </c>
      <c r="K30" s="18">
        <f>+Summary_working!H27</f>
        <v>3347.9282975852998</v>
      </c>
      <c r="L30" s="18">
        <f>+Summary_working!I27</f>
        <v>-149.67189242619801</v>
      </c>
      <c r="M30" s="18">
        <f>+Summary_working!J27</f>
        <v>144.909090342399</v>
      </c>
      <c r="N30" s="18">
        <f>+Summary_working!K27</f>
        <v>-144.909088667616</v>
      </c>
      <c r="O30" s="18">
        <f>+Summary_working!L27</f>
        <v>5303.5240687167698</v>
      </c>
      <c r="P30" s="18">
        <f>+Summary_working!M27</f>
        <v>1445.0200801472001</v>
      </c>
    </row>
    <row r="31" spans="1:16" x14ac:dyDescent="0.25">
      <c r="A31" s="19"/>
      <c r="B31" s="2">
        <v>7</v>
      </c>
      <c r="C31" s="20" t="s">
        <v>177</v>
      </c>
      <c r="D31" s="3" t="s">
        <v>14</v>
      </c>
      <c r="E31" s="21">
        <f>+Summary_working!B28</f>
        <v>5772.5428034720499</v>
      </c>
      <c r="F31" s="21">
        <f>+Summary_working!C28</f>
        <v>1570.3022201145402</v>
      </c>
      <c r="G31" s="21">
        <f>+Summary_working!D28</f>
        <v>351.69954653679901</v>
      </c>
      <c r="H31" s="21">
        <f>+Summary_working!E28</f>
        <v>18865.344839741403</v>
      </c>
      <c r="I31" s="21">
        <f>+Summary_working!F28</f>
        <v>19051.5127820415</v>
      </c>
      <c r="J31" s="21">
        <f>+Summary_working!G28</f>
        <v>3492.8373862529202</v>
      </c>
      <c r="K31" s="21">
        <f>+Summary_working!H28</f>
        <v>3279.6227420145401</v>
      </c>
      <c r="L31" s="21">
        <f>+Summary_working!I28</f>
        <v>-168.47352437330898</v>
      </c>
      <c r="M31" s="21">
        <f>+Summary_working!J28</f>
        <v>186.16794230009799</v>
      </c>
      <c r="N31" s="21">
        <f>+Summary_working!K28</f>
        <v>-213.214644238376</v>
      </c>
      <c r="O31" s="21">
        <f>+Summary_working!L28</f>
        <v>5775.4847236086598</v>
      </c>
      <c r="P31" s="21">
        <f>+Summary_working!M28</f>
        <v>1573.2441402511499</v>
      </c>
    </row>
    <row r="32" spans="1:16" x14ac:dyDescent="0.25">
      <c r="A32" s="16" t="s">
        <v>23</v>
      </c>
      <c r="B32" s="4">
        <v>8</v>
      </c>
      <c r="C32" s="17" t="s">
        <v>176</v>
      </c>
      <c r="D32" s="5" t="s">
        <v>12</v>
      </c>
      <c r="E32" s="18">
        <f>+Summary_working!B29</f>
        <v>1376.6854813345201</v>
      </c>
      <c r="F32" s="18">
        <f>+Summary_working!C29</f>
        <v>1376.8326152715199</v>
      </c>
      <c r="G32" s="18">
        <f>+Summary_working!D29</f>
        <v>8.0042401789675193</v>
      </c>
      <c r="H32" s="18">
        <f>+Summary_working!E29</f>
        <v>19312.306574190101</v>
      </c>
      <c r="I32" s="18">
        <f>+Summary_working!F29</f>
        <v>19312.306574190101</v>
      </c>
      <c r="J32" s="18">
        <f>+Summary_working!G29</f>
        <v>3716.0701421845597</v>
      </c>
      <c r="K32" s="18">
        <f>+Summary_working!H29</f>
        <v>3716.0701421845597</v>
      </c>
      <c r="L32" s="18">
        <f>+Summary_working!I29</f>
        <v>0</v>
      </c>
      <c r="M32" s="18">
        <f>+Summary_working!J29</f>
        <v>0</v>
      </c>
      <c r="N32" s="18">
        <f>+Summary_working!K29</f>
        <v>-1.43051147460937E-12</v>
      </c>
      <c r="O32" s="18">
        <f>+Summary_working!L29</f>
        <v>1368.68124115555</v>
      </c>
      <c r="P32" s="18">
        <f>+Summary_working!M29</f>
        <v>1368.82837509255</v>
      </c>
    </row>
    <row r="33" spans="1:16" x14ac:dyDescent="0.25">
      <c r="A33" s="16"/>
      <c r="B33" s="4">
        <v>9</v>
      </c>
      <c r="C33" s="17" t="s">
        <v>178</v>
      </c>
      <c r="D33" s="5" t="s">
        <v>4</v>
      </c>
      <c r="E33" s="18">
        <f>+Summary_working!B30</f>
        <v>4197.0982488070595</v>
      </c>
      <c r="F33" s="18">
        <f>+Summary_working!C30</f>
        <v>1759.0961799594299</v>
      </c>
      <c r="G33" s="18">
        <f>+Summary_working!D30</f>
        <v>341.91252746149598</v>
      </c>
      <c r="H33" s="18">
        <f>+Summary_working!E30</f>
        <v>19312.306574190101</v>
      </c>
      <c r="I33" s="18">
        <f>+Summary_working!F30</f>
        <v>19312.306574190101</v>
      </c>
      <c r="J33" s="18">
        <f>+Summary_working!G30</f>
        <v>3716.0701421845497</v>
      </c>
      <c r="K33" s="18">
        <f>+Summary_working!H30</f>
        <v>3716.0701421845497</v>
      </c>
      <c r="L33" s="18">
        <f>+Summary_working!I30</f>
        <v>-222.436517734126</v>
      </c>
      <c r="M33" s="18">
        <f>+Summary_working!J30</f>
        <v>-3.8146972656249998E-12</v>
      </c>
      <c r="N33" s="18">
        <f>+Summary_working!K30</f>
        <v>0</v>
      </c>
      <c r="O33" s="18">
        <f>+Summary_working!L30</f>
        <v>4077.6222390796902</v>
      </c>
      <c r="P33" s="18">
        <f>+Summary_working!M30</f>
        <v>1639.62017023205</v>
      </c>
    </row>
    <row r="34" spans="1:16" x14ac:dyDescent="0.25">
      <c r="A34" s="11" t="s">
        <v>37</v>
      </c>
      <c r="B34" s="12">
        <v>10</v>
      </c>
      <c r="C34" s="13" t="s">
        <v>179</v>
      </c>
      <c r="D34" s="14" t="s">
        <v>3</v>
      </c>
      <c r="E34" s="15">
        <f>+Summary_working!B31</f>
        <v>4986.6977839142201</v>
      </c>
      <c r="F34" s="15">
        <f>+Summary_working!C31</f>
        <v>1519.6314059188801</v>
      </c>
      <c r="G34" s="15">
        <f>+Summary_working!D31</f>
        <v>422.16954425417697</v>
      </c>
      <c r="H34" s="15">
        <f>+Summary_working!E31</f>
        <v>19312.306574190101</v>
      </c>
      <c r="I34" s="15">
        <f>+Summary_working!F31</f>
        <v>19607.362560787202</v>
      </c>
      <c r="J34" s="15">
        <f>+Summary_working!G31</f>
        <v>3716.0701421845497</v>
      </c>
      <c r="K34" s="15">
        <f>+Summary_working!H31</f>
        <v>3421.0141569935399</v>
      </c>
      <c r="L34" s="15">
        <f>+Summary_working!I31</f>
        <v>-201.53480651679999</v>
      </c>
      <c r="M34" s="15">
        <f>+Summary_working!J31</f>
        <v>295.055986597095</v>
      </c>
      <c r="N34" s="15">
        <f>+Summary_working!K31</f>
        <v>-295.055985191015</v>
      </c>
      <c r="O34" s="15">
        <f>+Summary_working!L31</f>
        <v>5061.1190327739405</v>
      </c>
      <c r="P34" s="15">
        <f>+Summary_working!M31</f>
        <v>1594.0526547786001</v>
      </c>
    </row>
    <row r="35" spans="1:16" x14ac:dyDescent="0.25">
      <c r="A35" s="16"/>
      <c r="B35" s="4">
        <v>11</v>
      </c>
      <c r="C35" s="17" t="s">
        <v>180</v>
      </c>
      <c r="D35" s="5" t="s">
        <v>13</v>
      </c>
      <c r="E35" s="18">
        <f>+Summary_working!B32</f>
        <v>5002.9820877833999</v>
      </c>
      <c r="F35" s="18">
        <f>+Summary_working!C32</f>
        <v>1432.92579055903</v>
      </c>
      <c r="G35" s="18">
        <f>+Summary_working!D32</f>
        <v>412.40411367656998</v>
      </c>
      <c r="H35" s="18">
        <f>+Summary_working!E32</f>
        <v>19312.306574190101</v>
      </c>
      <c r="I35" s="18">
        <f>+Summary_working!F32</f>
        <v>20245.9043845173</v>
      </c>
      <c r="J35" s="18">
        <f>+Summary_working!G32</f>
        <v>3716.0701421845497</v>
      </c>
      <c r="K35" s="18">
        <f>+Summary_working!H32</f>
        <v>2782.4723319359196</v>
      </c>
      <c r="L35" s="18">
        <f>+Summary_working!I32</f>
        <v>-201.56641030684702</v>
      </c>
      <c r="M35" s="18">
        <f>+Summary_working!J32</f>
        <v>933.59781032717501</v>
      </c>
      <c r="N35" s="18">
        <f>+Summary_working!K32</f>
        <v>-933.59781024863298</v>
      </c>
      <c r="O35" s="18">
        <f>+Summary_working!L32</f>
        <v>5725.7421947408602</v>
      </c>
      <c r="P35" s="18">
        <f>+Summary_working!M32</f>
        <v>2155.6858975164801</v>
      </c>
    </row>
    <row r="36" spans="1:16" x14ac:dyDescent="0.25">
      <c r="A36" s="16"/>
      <c r="B36" s="4">
        <v>12</v>
      </c>
      <c r="C36" s="22" t="s">
        <v>39</v>
      </c>
      <c r="D36" s="5" t="s">
        <v>11</v>
      </c>
      <c r="E36" s="18">
        <f>+Summary_working!B33</f>
        <v>891.02987683159699</v>
      </c>
      <c r="F36" s="18">
        <f>+Summary_working!C33</f>
        <v>894.56608201061795</v>
      </c>
      <c r="G36" s="18">
        <f>+Summary_working!D33</f>
        <v>54.260169575154301</v>
      </c>
      <c r="H36" s="18">
        <f>+Summary_working!E33</f>
        <v>18729.431757168702</v>
      </c>
      <c r="I36" s="18">
        <f>+Summary_working!F33</f>
        <v>19530.756014136299</v>
      </c>
      <c r="J36" s="18">
        <f>+Summary_working!G33</f>
        <v>3492.8373862529202</v>
      </c>
      <c r="K36" s="18">
        <f>+Summary_working!H33</f>
        <v>2691.5131293309596</v>
      </c>
      <c r="L36" s="18">
        <f>+Summary_working!I33</f>
        <v>0</v>
      </c>
      <c r="M36" s="18">
        <f>+Summary_working!J33</f>
        <v>801.32425696758196</v>
      </c>
      <c r="N36" s="18">
        <f>+Summary_working!K33</f>
        <v>-801.32425692195795</v>
      </c>
      <c r="O36" s="18">
        <f>+Summary_working!L33</f>
        <v>1638.0939642240201</v>
      </c>
      <c r="P36" s="18">
        <f>+Summary_working!M33</f>
        <v>1641.6301694030399</v>
      </c>
    </row>
    <row r="37" spans="1:16" x14ac:dyDescent="0.25">
      <c r="A37" s="16"/>
      <c r="B37" s="4">
        <v>13</v>
      </c>
      <c r="C37" s="17" t="s">
        <v>181</v>
      </c>
      <c r="D37" s="5" t="s">
        <v>1</v>
      </c>
      <c r="E37" s="18">
        <f>+Summary_working!B34</f>
        <v>5219.3080697672704</v>
      </c>
      <c r="F37" s="18">
        <f>+Summary_working!C34</f>
        <v>1652.3700916118501</v>
      </c>
      <c r="G37" s="18">
        <f>+Summary_working!D34</f>
        <v>419.15352230181497</v>
      </c>
      <c r="H37" s="18">
        <f>+Summary_working!E34</f>
        <v>19312.306574190101</v>
      </c>
      <c r="I37" s="18">
        <f>+Summary_working!F34</f>
        <v>19774.096017263098</v>
      </c>
      <c r="J37" s="18">
        <f>+Summary_working!G34</f>
        <v>3716.0701421845497</v>
      </c>
      <c r="K37" s="18">
        <f>+Summary_working!H34</f>
        <v>3254.2807006408702</v>
      </c>
      <c r="L37" s="18">
        <f>+Summary_working!I34</f>
        <v>-201.52517896169098</v>
      </c>
      <c r="M37" s="18">
        <f>+Summary_working!J34</f>
        <v>461.789443072994</v>
      </c>
      <c r="N37" s="18">
        <f>+Summary_working!K34</f>
        <v>-461.78944154368105</v>
      </c>
      <c r="O37" s="18">
        <f>+Summary_working!L34</f>
        <v>5463.4691695001402</v>
      </c>
      <c r="P37" s="18">
        <f>+Summary_working!M34</f>
        <v>1896.5311913447199</v>
      </c>
    </row>
    <row r="38" spans="1:16" x14ac:dyDescent="0.25">
      <c r="A38" s="16"/>
      <c r="B38" s="4">
        <v>14</v>
      </c>
      <c r="C38" s="17" t="s">
        <v>182</v>
      </c>
      <c r="D38" s="5" t="s">
        <v>5</v>
      </c>
      <c r="E38" s="18">
        <f>+Summary_working!B35</f>
        <v>6302.2318881752399</v>
      </c>
      <c r="F38" s="18">
        <f>+Summary_working!C35</f>
        <v>2232.6185013342201</v>
      </c>
      <c r="G38" s="18">
        <f>+Summary_working!D35</f>
        <v>446.81142398275796</v>
      </c>
      <c r="H38" s="18">
        <f>+Summary_working!E35</f>
        <v>19312.306574190101</v>
      </c>
      <c r="I38" s="18">
        <f>+Summary_working!F35</f>
        <v>19047.143635728098</v>
      </c>
      <c r="J38" s="18">
        <f>+Summary_working!G35</f>
        <v>3716.0701421845497</v>
      </c>
      <c r="K38" s="18">
        <f>+Summary_working!H35</f>
        <v>3981.2330821758801</v>
      </c>
      <c r="L38" s="18">
        <f>+Summary_working!I35</f>
        <v>-200.56951218087599</v>
      </c>
      <c r="M38" s="18">
        <f>+Summary_working!J35</f>
        <v>-265.16293846200904</v>
      </c>
      <c r="N38" s="18">
        <f>+Summary_working!K35</f>
        <v>265.16293999132102</v>
      </c>
      <c r="O38" s="18">
        <f>+Summary_working!L35</f>
        <v>5790.8270379113501</v>
      </c>
      <c r="P38" s="18">
        <f>+Summary_working!M35</f>
        <v>1721.2136510703299</v>
      </c>
    </row>
    <row r="39" spans="1:16" x14ac:dyDescent="0.25">
      <c r="A39" s="19"/>
      <c r="B39" s="2">
        <v>15</v>
      </c>
      <c r="C39" s="20" t="s">
        <v>183</v>
      </c>
      <c r="D39" s="3" t="s">
        <v>6</v>
      </c>
      <c r="E39" s="21">
        <f>+Summary_working!B36</f>
        <v>3493.75459125306</v>
      </c>
      <c r="F39" s="21">
        <f>+Summary_working!C36</f>
        <v>2051.67424504685</v>
      </c>
      <c r="G39" s="21">
        <f>+Summary_working!D36</f>
        <v>90.921778239960403</v>
      </c>
      <c r="H39" s="21">
        <f>+Summary_working!E36</f>
        <v>19312.306574190101</v>
      </c>
      <c r="I39" s="21">
        <f>+Summary_working!F36</f>
        <v>19683.706291797</v>
      </c>
      <c r="J39" s="21">
        <f>+Summary_working!G36</f>
        <v>3716.0701421845497</v>
      </c>
      <c r="K39" s="21">
        <f>+Summary_working!H36</f>
        <v>3344.6704261069999</v>
      </c>
      <c r="L39" s="21">
        <f>+Summary_working!I36</f>
        <v>-215.54167005259799</v>
      </c>
      <c r="M39" s="21">
        <f>+Summary_working!J36</f>
        <v>371.399717606857</v>
      </c>
      <c r="N39" s="21">
        <f>+Summary_working!K36</f>
        <v>-371.39971607755103</v>
      </c>
      <c r="O39" s="21">
        <f>+Summary_working!L36</f>
        <v>3989.7742006725603</v>
      </c>
      <c r="P39" s="21">
        <f>+Summary_working!M36</f>
        <v>2547.6938544663399</v>
      </c>
    </row>
    <row r="41" spans="1:16" x14ac:dyDescent="0.25">
      <c r="A41" s="87" t="s">
        <v>207</v>
      </c>
      <c r="B41" s="86"/>
    </row>
    <row r="42" spans="1:16" x14ac:dyDescent="0.25">
      <c r="A42" s="25" t="s">
        <v>208</v>
      </c>
      <c r="B42" s="25">
        <f>+P10-P9</f>
        <v>52.403004787784113</v>
      </c>
    </row>
    <row r="43" spans="1:16" x14ac:dyDescent="0.25">
      <c r="A43" s="25" t="s">
        <v>209</v>
      </c>
      <c r="B43" s="88">
        <f>+F8/B44</f>
        <v>9.5972836951397592E-4</v>
      </c>
    </row>
    <row r="44" spans="1:16" x14ac:dyDescent="0.25">
      <c r="A44" s="25" t="s">
        <v>210</v>
      </c>
      <c r="B44" s="25">
        <v>52918.68800960001</v>
      </c>
    </row>
  </sheetData>
  <mergeCells count="1">
    <mergeCell ref="M1:P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RowHeight="15" x14ac:dyDescent="0.25"/>
  <cols>
    <col min="1" max="1" width="20.7109375" customWidth="1"/>
    <col min="2" max="2" width="33" bestFit="1" customWidth="1"/>
    <col min="3" max="3" width="13.140625" customWidth="1"/>
    <col min="4" max="4" width="14.28515625" bestFit="1" customWidth="1"/>
    <col min="5" max="5" width="15.140625" customWidth="1"/>
  </cols>
  <sheetData>
    <row r="1" spans="1:6" x14ac:dyDescent="0.25">
      <c r="A1" s="1"/>
      <c r="C1" s="1"/>
      <c r="D1" s="1"/>
      <c r="E1" s="1"/>
      <c r="F1" s="1"/>
    </row>
    <row r="2" spans="1:6" x14ac:dyDescent="0.25">
      <c r="A2" s="1"/>
      <c r="B2" s="6" t="s">
        <v>68</v>
      </c>
      <c r="C2" s="1"/>
      <c r="D2" s="1"/>
      <c r="E2" s="1"/>
      <c r="F2" s="1"/>
    </row>
    <row r="3" spans="1:6" x14ac:dyDescent="0.25">
      <c r="A3" s="1"/>
      <c r="B3" s="3"/>
      <c r="C3" s="40" t="s">
        <v>62</v>
      </c>
      <c r="D3" s="40" t="s">
        <v>69</v>
      </c>
      <c r="E3" s="40" t="s">
        <v>70</v>
      </c>
      <c r="F3" s="1"/>
    </row>
    <row r="4" spans="1:6" x14ac:dyDescent="0.25">
      <c r="A4" s="1"/>
      <c r="B4" s="6" t="s">
        <v>71</v>
      </c>
      <c r="C4" s="25">
        <f>+D13/1000000</f>
        <v>42.417774999999999</v>
      </c>
      <c r="D4" s="63">
        <f>+B13/1000000</f>
        <v>8.9291920000000005</v>
      </c>
      <c r="E4" s="63">
        <f>+E13/1000000</f>
        <v>110.692278</v>
      </c>
      <c r="F4" s="1"/>
    </row>
    <row r="5" spans="1:6" x14ac:dyDescent="0.25">
      <c r="A5" s="1"/>
      <c r="B5" s="6" t="s">
        <v>144</v>
      </c>
      <c r="C5" s="25">
        <f>+D22/1000000</f>
        <v>26.221931349495001</v>
      </c>
      <c r="D5" s="63">
        <f>+B22/1000000</f>
        <v>9.834187997713709</v>
      </c>
      <c r="E5" s="63">
        <f>+E22/1000000</f>
        <v>48.293041066872902</v>
      </c>
      <c r="F5" s="1"/>
    </row>
    <row r="6" spans="1:6" x14ac:dyDescent="0.25">
      <c r="A6" s="1"/>
      <c r="B6" s="6" t="s">
        <v>72</v>
      </c>
      <c r="C6" s="25">
        <f t="shared" ref="C6:E7" si="0">+B26/1000000</f>
        <v>45.571721459622744</v>
      </c>
      <c r="D6" s="63">
        <f t="shared" si="0"/>
        <v>22.785860729811372</v>
      </c>
      <c r="E6" s="63">
        <f t="shared" si="0"/>
        <v>68.357582189434112</v>
      </c>
      <c r="F6" s="1"/>
    </row>
    <row r="7" spans="1:6" x14ac:dyDescent="0.25">
      <c r="A7" s="1"/>
      <c r="B7" s="6" t="s">
        <v>73</v>
      </c>
      <c r="C7" s="25">
        <f t="shared" si="0"/>
        <v>31.354459316056047</v>
      </c>
      <c r="D7" s="63">
        <f t="shared" si="0"/>
        <v>6.2788421757393218</v>
      </c>
      <c r="E7" s="63">
        <f t="shared" si="0"/>
        <v>56.43007645637276</v>
      </c>
      <c r="F7" s="1"/>
    </row>
    <row r="8" spans="1:6" x14ac:dyDescent="0.25">
      <c r="A8" s="1"/>
      <c r="B8" s="41" t="s">
        <v>74</v>
      </c>
      <c r="C8" s="43">
        <f>+SUM(C4:C7)</f>
        <v>145.56588712517379</v>
      </c>
      <c r="D8" s="42">
        <f t="shared" ref="D8:E8" si="1">+SUM(D4:D7)</f>
        <v>47.828082903264402</v>
      </c>
      <c r="E8" s="42">
        <f t="shared" si="1"/>
        <v>283.77297771267979</v>
      </c>
      <c r="F8" s="1"/>
    </row>
    <row r="9" spans="1:6" x14ac:dyDescent="0.25">
      <c r="A9" s="1"/>
      <c r="B9" s="1"/>
      <c r="C9" s="1"/>
      <c r="D9" s="1"/>
      <c r="E9" s="1"/>
      <c r="F9" s="1"/>
    </row>
    <row r="10" spans="1:6" x14ac:dyDescent="0.25">
      <c r="A10" s="1"/>
      <c r="B10" s="1"/>
      <c r="C10" s="1"/>
      <c r="D10" s="1"/>
      <c r="E10" s="1"/>
      <c r="F10" s="1"/>
    </row>
    <row r="11" spans="1:6" x14ac:dyDescent="0.25">
      <c r="A11" s="6" t="s">
        <v>108</v>
      </c>
      <c r="B11" s="1"/>
      <c r="C11" s="1"/>
      <c r="D11" s="1"/>
      <c r="E11" s="1"/>
      <c r="F11" s="1"/>
    </row>
    <row r="12" spans="1:6" x14ac:dyDescent="0.25">
      <c r="A12" s="41" t="s">
        <v>102</v>
      </c>
      <c r="B12" s="41" t="s">
        <v>98</v>
      </c>
      <c r="C12" s="41" t="s">
        <v>99</v>
      </c>
      <c r="D12" s="41" t="s">
        <v>100</v>
      </c>
      <c r="E12" s="41" t="s">
        <v>101</v>
      </c>
      <c r="F12" s="1"/>
    </row>
    <row r="13" spans="1:6" x14ac:dyDescent="0.25">
      <c r="A13" s="1" t="s">
        <v>34</v>
      </c>
      <c r="B13" s="25">
        <f>[2]Summary!N9</f>
        <v>8929192</v>
      </c>
      <c r="C13" s="25">
        <f>[2]Summary!O9</f>
        <v>28931758</v>
      </c>
      <c r="D13" s="65">
        <f>[2]Summary!P9</f>
        <v>42417775</v>
      </c>
      <c r="E13" s="25">
        <f>[2]Summary!Q9</f>
        <v>110692278</v>
      </c>
      <c r="F13" s="1"/>
    </row>
    <row r="14" spans="1:6" x14ac:dyDescent="0.25">
      <c r="A14" s="1" t="s">
        <v>103</v>
      </c>
      <c r="B14" s="25">
        <f>[2]Summary!N10</f>
        <v>9005357</v>
      </c>
      <c r="C14" s="25">
        <f>[2]Summary!O10</f>
        <v>29181307</v>
      </c>
      <c r="D14" s="65">
        <f>[2]Summary!P10</f>
        <v>42930786</v>
      </c>
      <c r="E14" s="25">
        <f>[2]Summary!Q10</f>
        <v>112438214</v>
      </c>
      <c r="F14" s="1"/>
    </row>
    <row r="15" spans="1:6" x14ac:dyDescent="0.25">
      <c r="A15" s="1" t="s">
        <v>104</v>
      </c>
      <c r="B15" s="25">
        <f>[2]Summary!N11</f>
        <v>732197</v>
      </c>
      <c r="C15" s="25">
        <f>[2]Summary!O11</f>
        <v>9050955</v>
      </c>
      <c r="D15" s="65">
        <f>[2]Summary!P11</f>
        <v>11093954</v>
      </c>
      <c r="E15" s="25">
        <f>[2]Summary!Q11</f>
        <v>28203576</v>
      </c>
      <c r="F15" s="1"/>
    </row>
    <row r="16" spans="1:6" x14ac:dyDescent="0.25">
      <c r="A16" s="1" t="s">
        <v>105</v>
      </c>
      <c r="B16" s="25">
        <f>[2]Summary!N12</f>
        <v>2316863</v>
      </c>
      <c r="C16" s="25">
        <f>[2]Summary!O12</f>
        <v>15555839</v>
      </c>
      <c r="D16" s="65">
        <f>[2]Summary!P12</f>
        <v>31836832</v>
      </c>
      <c r="E16" s="25">
        <f>[2]Summary!Q12</f>
        <v>103750274</v>
      </c>
      <c r="F16" s="1"/>
    </row>
    <row r="17" spans="1:8" x14ac:dyDescent="0.25">
      <c r="A17" s="1" t="s">
        <v>106</v>
      </c>
      <c r="B17" s="25">
        <f>[2]Summary!N13</f>
        <v>12599</v>
      </c>
      <c r="C17" s="25">
        <f>[2]Summary!O13</f>
        <v>177146</v>
      </c>
      <c r="D17" s="65">
        <f>[2]Summary!P13</f>
        <v>513011</v>
      </c>
      <c r="E17" s="25">
        <f>[2]Summary!Q13</f>
        <v>1876497</v>
      </c>
      <c r="F17" s="1"/>
    </row>
    <row r="18" spans="1:8" x14ac:dyDescent="0.25">
      <c r="A18" s="3" t="s">
        <v>107</v>
      </c>
      <c r="B18" s="73">
        <f>[2]Summary!N14</f>
        <v>2277536</v>
      </c>
      <c r="C18" s="73">
        <f>[2]Summary!O14</f>
        <v>15310792</v>
      </c>
      <c r="D18" s="76">
        <f>[2]Summary!P14</f>
        <v>31323820</v>
      </c>
      <c r="E18" s="73">
        <f>[2]Summary!Q14</f>
        <v>101708217</v>
      </c>
      <c r="F18" s="1"/>
    </row>
    <row r="19" spans="1:8" x14ac:dyDescent="0.25">
      <c r="A19" s="1"/>
      <c r="B19" s="1"/>
      <c r="C19" s="1"/>
      <c r="D19" s="64"/>
      <c r="E19" s="1"/>
      <c r="F19" s="1"/>
    </row>
    <row r="20" spans="1:8" x14ac:dyDescent="0.25">
      <c r="A20" s="6" t="s">
        <v>109</v>
      </c>
      <c r="B20" s="1"/>
      <c r="C20" s="1"/>
      <c r="D20" s="1"/>
      <c r="E20" s="1"/>
      <c r="F20" s="1"/>
    </row>
    <row r="21" spans="1:8" x14ac:dyDescent="0.25">
      <c r="A21" s="41"/>
      <c r="B21" s="41" t="s">
        <v>98</v>
      </c>
      <c r="C21" s="41" t="s">
        <v>99</v>
      </c>
      <c r="D21" s="80" t="s">
        <v>100</v>
      </c>
      <c r="E21" s="41" t="s">
        <v>101</v>
      </c>
      <c r="F21" s="1"/>
    </row>
    <row r="22" spans="1:8" x14ac:dyDescent="0.25">
      <c r="A22" s="81" t="s">
        <v>34</v>
      </c>
      <c r="B22" s="42">
        <f>[2]Summary!S9</f>
        <v>9834187.9977137093</v>
      </c>
      <c r="C22" s="42">
        <f>[2]Summary!T9</f>
        <v>24461143.821109101</v>
      </c>
      <c r="D22" s="42">
        <f>[2]Summary!U9</f>
        <v>26221931.349495001</v>
      </c>
      <c r="E22" s="42">
        <f>[2]Summary!V9</f>
        <v>48293041.066872902</v>
      </c>
      <c r="F22" s="1"/>
    </row>
    <row r="23" spans="1:8" x14ac:dyDescent="0.25">
      <c r="A23" s="5"/>
      <c r="B23" s="83"/>
      <c r="C23" s="83"/>
      <c r="D23" s="83"/>
      <c r="E23" s="83"/>
      <c r="F23" s="1"/>
    </row>
    <row r="24" spans="1:8" x14ac:dyDescent="0.25">
      <c r="A24" s="6" t="s">
        <v>172</v>
      </c>
    </row>
    <row r="25" spans="1:8" x14ac:dyDescent="0.25">
      <c r="A25" s="41" t="s">
        <v>102</v>
      </c>
      <c r="B25" s="41" t="s">
        <v>62</v>
      </c>
      <c r="C25" s="41" t="s">
        <v>63</v>
      </c>
      <c r="D25" s="41" t="s">
        <v>64</v>
      </c>
      <c r="E25" s="1"/>
      <c r="F25" s="1"/>
      <c r="G25" s="1"/>
      <c r="H25" s="1"/>
    </row>
    <row r="26" spans="1:8" x14ac:dyDescent="0.25">
      <c r="A26" s="1" t="s">
        <v>111</v>
      </c>
      <c r="B26" s="25">
        <f>+'[2]Scrutiny - Major capex'!$C$6</f>
        <v>45571721.459622741</v>
      </c>
      <c r="C26" s="25">
        <f>+'[2]Scrutiny - Major capex'!$C$105</f>
        <v>22785860.72981137</v>
      </c>
      <c r="D26" s="25">
        <f>+'[2]Scrutiny - Major capex'!$C$55</f>
        <v>68357582.189434111</v>
      </c>
      <c r="E26" s="1"/>
      <c r="F26" s="1"/>
      <c r="G26" s="1"/>
      <c r="H26" s="1"/>
    </row>
    <row r="27" spans="1:8" x14ac:dyDescent="0.25">
      <c r="A27" s="1" t="s">
        <v>170</v>
      </c>
      <c r="B27" s="25">
        <f>+'[2]Scrutiny - Base capex'!$C$12</f>
        <v>31354459.316056047</v>
      </c>
      <c r="C27" s="25">
        <f>+'[2]Scrutiny - Base capex'!$C$121</f>
        <v>6278842.1757393219</v>
      </c>
      <c r="D27" s="25">
        <f>+'[2]Scrutiny - Base capex'!$C$66</f>
        <v>56430076.45637276</v>
      </c>
      <c r="E27" s="1"/>
      <c r="F27" s="1"/>
      <c r="G27" s="1"/>
      <c r="H27" s="1"/>
    </row>
    <row r="28" spans="1:8" x14ac:dyDescent="0.25">
      <c r="A28" s="3" t="s">
        <v>171</v>
      </c>
      <c r="B28" s="73">
        <f>+'[2]Scrutiny - Inefficient investmt'!$C$13</f>
        <v>206413901.47755048</v>
      </c>
      <c r="C28" s="82" t="s">
        <v>41</v>
      </c>
      <c r="D28" s="82" t="s">
        <v>41</v>
      </c>
      <c r="E28" s="1"/>
      <c r="F28" s="1"/>
      <c r="G28" s="1"/>
      <c r="H28" s="1"/>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ColWidth="8.85546875" defaultRowHeight="12" x14ac:dyDescent="0.2"/>
  <cols>
    <col min="1" max="1" width="39.42578125" style="1" bestFit="1" customWidth="1"/>
    <col min="2" max="3" width="11.5703125" style="1" bestFit="1" customWidth="1"/>
    <col min="4" max="4" width="9.140625" style="1" bestFit="1" customWidth="1"/>
    <col min="5" max="6" width="11" style="1" bestFit="1" customWidth="1"/>
    <col min="7" max="8" width="10" style="1" bestFit="1" customWidth="1"/>
    <col min="9" max="9" width="11.5703125" style="1" bestFit="1" customWidth="1"/>
    <col min="10" max="10" width="11" style="1" bestFit="1" customWidth="1"/>
    <col min="11" max="11" width="11.5703125" style="1" bestFit="1" customWidth="1"/>
    <col min="12" max="12" width="11" style="1" bestFit="1" customWidth="1"/>
    <col min="13" max="13" width="10" style="1" bestFit="1" customWidth="1"/>
    <col min="14" max="16384" width="8.85546875" style="1"/>
  </cols>
  <sheetData>
    <row r="1" spans="1:13" x14ac:dyDescent="0.2">
      <c r="B1" s="1">
        <v>2</v>
      </c>
      <c r="C1" s="1">
        <f>+B1+1</f>
        <v>3</v>
      </c>
      <c r="D1" s="1">
        <f t="shared" ref="D1:M1" si="0">+C1+1</f>
        <v>4</v>
      </c>
      <c r="E1" s="1">
        <f t="shared" si="0"/>
        <v>5</v>
      </c>
      <c r="F1" s="1">
        <f t="shared" si="0"/>
        <v>6</v>
      </c>
      <c r="G1" s="1">
        <f t="shared" si="0"/>
        <v>7</v>
      </c>
      <c r="H1" s="1">
        <f t="shared" si="0"/>
        <v>8</v>
      </c>
      <c r="I1" s="1">
        <f t="shared" si="0"/>
        <v>9</v>
      </c>
      <c r="J1" s="1">
        <f t="shared" si="0"/>
        <v>10</v>
      </c>
      <c r="K1" s="1">
        <f t="shared" si="0"/>
        <v>11</v>
      </c>
      <c r="L1" s="1">
        <f t="shared" si="0"/>
        <v>12</v>
      </c>
      <c r="M1" s="1">
        <f t="shared" si="0"/>
        <v>13</v>
      </c>
    </row>
    <row r="3" spans="1:13" ht="84" x14ac:dyDescent="0.2">
      <c r="A3" s="10" t="s">
        <v>156</v>
      </c>
      <c r="B3" s="10" t="s">
        <v>157</v>
      </c>
      <c r="C3" s="10" t="s">
        <v>158</v>
      </c>
      <c r="D3" s="10" t="s">
        <v>159</v>
      </c>
      <c r="E3" s="10" t="s">
        <v>160</v>
      </c>
      <c r="F3" s="10" t="s">
        <v>161</v>
      </c>
      <c r="G3" s="10" t="s">
        <v>162</v>
      </c>
      <c r="H3" s="10" t="s">
        <v>163</v>
      </c>
      <c r="I3" s="10" t="s">
        <v>173</v>
      </c>
      <c r="J3" s="10" t="s">
        <v>164</v>
      </c>
      <c r="K3" s="10" t="s">
        <v>165</v>
      </c>
      <c r="L3" s="10" t="s">
        <v>166</v>
      </c>
      <c r="M3" s="10" t="s">
        <v>167</v>
      </c>
    </row>
    <row r="4" spans="1:13" x14ac:dyDescent="0.2">
      <c r="A4" s="1" t="s">
        <v>7</v>
      </c>
      <c r="B4" s="84">
        <f>+VLOOKUP($A4,'net_benefits CS $m '!$B$4:$O$19,Summary_working!B$1,FALSE)</f>
        <v>-198.535834479301</v>
      </c>
      <c r="C4" s="84">
        <f>+VLOOKUP($A4,'net_benefits CS $m '!$B$4:$O$19,Summary_working!C$1,FALSE)</f>
        <v>-200.53537002986198</v>
      </c>
      <c r="D4" s="84">
        <f>+VLOOKUP($A4,'net_benefits CS $m '!$B$4:$O$19,Summary_working!D$1,FALSE)</f>
        <v>56.5447051251586</v>
      </c>
      <c r="E4" s="84">
        <f>+VLOOKUP($A4,'net_benefits CS $m '!$B$4:$O$19,Summary_working!E$1,FALSE)</f>
        <v>18729.431757168702</v>
      </c>
      <c r="F4" s="84">
        <f>+VLOOKUP($A4,'net_benefits CS $m '!$B$4:$O$19,Summary_working!F$1,FALSE)</f>
        <v>18964.322227948003</v>
      </c>
      <c r="G4" s="84">
        <f>+VLOOKUP($A4,'net_benefits CS $m '!$B$4:$O$19,Summary_working!G$1,FALSE)</f>
        <v>3492.8373862529202</v>
      </c>
      <c r="H4" s="84">
        <f>+VLOOKUP($A4,'net_benefits CS $m '!$B$4:$O$19,Summary_working!H$1,FALSE)</f>
        <v>3257.9469169700196</v>
      </c>
      <c r="I4" s="84">
        <f>+VLOOKUP($A4,'net_benefits CS $m '!$B$4:$O$19,Summary_working!I$1,FALSE)</f>
        <v>0</v>
      </c>
      <c r="J4" s="84">
        <f>+VLOOKUP($A4,'net_benefits CS $m '!$B$4:$O$19,Summary_working!J$1,FALSE)</f>
        <v>234.890470779304</v>
      </c>
      <c r="K4" s="84">
        <f>+VLOOKUP($A4,'net_benefits CS $m '!$B$4:$O$19,Summary_working!K$1,FALSE)</f>
        <v>-234.8904692829</v>
      </c>
      <c r="L4" s="84">
        <f>+VLOOKUP($A4,'net_benefits CS $m '!$B$4:$O$19,Summary_working!L$1,FALSE)</f>
        <v>-20.190068825155898</v>
      </c>
      <c r="M4" s="84">
        <f>+VLOOKUP($A4,'net_benefits CS $m '!$B$4:$O$19,Summary_working!M$1,FALSE)</f>
        <v>-22.189604375716499</v>
      </c>
    </row>
    <row r="5" spans="1:13" x14ac:dyDescent="0.2">
      <c r="A5" s="1" t="s">
        <v>9</v>
      </c>
      <c r="B5" s="84">
        <f>+VLOOKUP($A5,'net_benefits CS $m '!$B$4:$O$19,Summary_working!B$1,FALSE)</f>
        <v>1190.7928160415202</v>
      </c>
      <c r="C5" s="84">
        <f>+VLOOKUP($A5,'net_benefits CS $m '!$B$4:$O$19,Summary_working!C$1,FALSE)</f>
        <v>-126.529691485009</v>
      </c>
      <c r="D5" s="84">
        <f>+VLOOKUP($A5,'net_benefits CS $m '!$B$4:$O$19,Summary_working!D$1,FALSE)</f>
        <v>117.906910566329</v>
      </c>
      <c r="E5" s="84">
        <f>+VLOOKUP($A5,'net_benefits CS $m '!$B$4:$O$19,Summary_working!E$1,FALSE)</f>
        <v>18729.431757168702</v>
      </c>
      <c r="F5" s="84">
        <f>+VLOOKUP($A5,'net_benefits CS $m '!$B$4:$O$19,Summary_working!F$1,FALSE)</f>
        <v>18944.379074649798</v>
      </c>
      <c r="G5" s="84">
        <f>+VLOOKUP($A5,'net_benefits CS $m '!$B$4:$O$19,Summary_working!G$1,FALSE)</f>
        <v>3492.8373862529202</v>
      </c>
      <c r="H5" s="84">
        <f>+VLOOKUP($A5,'net_benefits CS $m '!$B$4:$O$19,Summary_working!H$1,FALSE)</f>
        <v>3277.8900702682199</v>
      </c>
      <c r="I5" s="84">
        <f>+VLOOKUP($A5,'net_benefits CS $m '!$B$4:$O$19,Summary_working!I$1,FALSE)</f>
        <v>0</v>
      </c>
      <c r="J5" s="84">
        <f>+VLOOKUP($A5,'net_benefits CS $m '!$B$4:$O$19,Summary_working!J$1,FALSE)</f>
        <v>214.947317481098</v>
      </c>
      <c r="K5" s="84">
        <f>+VLOOKUP($A5,'net_benefits CS $m '!$B$4:$O$19,Summary_working!K$1,FALSE)</f>
        <v>-214.94731598469201</v>
      </c>
      <c r="L5" s="84">
        <f>+VLOOKUP($A5,'net_benefits CS $m '!$B$4:$O$19,Summary_working!L$1,FALSE)</f>
        <v>1287.83322295629</v>
      </c>
      <c r="M5" s="84">
        <f>+VLOOKUP($A5,'net_benefits CS $m '!$B$4:$O$19,Summary_working!M$1,FALSE)</f>
        <v>-29.4892845702405</v>
      </c>
    </row>
    <row r="6" spans="1:13" x14ac:dyDescent="0.2">
      <c r="A6" s="1" t="s">
        <v>8</v>
      </c>
      <c r="B6" s="84">
        <f>+VLOOKUP($A6,'net_benefits CS $m '!$B$4:$O$19,Summary_working!B$1,FALSE)</f>
        <v>19.203879748406802</v>
      </c>
      <c r="C6" s="84">
        <f>+VLOOKUP($A6,'net_benefits CS $m '!$B$4:$O$19,Summary_working!C$1,FALSE)</f>
        <v>23.711879025813801</v>
      </c>
      <c r="D6" s="84">
        <f>+VLOOKUP($A6,'net_benefits CS $m '!$B$4:$O$19,Summary_working!D$1,FALSE)</f>
        <v>341.63522645485301</v>
      </c>
      <c r="E6" s="84">
        <f>+VLOOKUP($A6,'net_benefits CS $m '!$B$4:$O$19,Summary_working!E$1,FALSE)</f>
        <v>18729.431757168702</v>
      </c>
      <c r="F6" s="84">
        <f>+VLOOKUP($A6,'net_benefits CS $m '!$B$4:$O$19,Summary_working!F$1,FALSE)</f>
        <v>18964.322227948003</v>
      </c>
      <c r="G6" s="84">
        <f>+VLOOKUP($A6,'net_benefits CS $m '!$B$4:$O$19,Summary_working!G$1,FALSE)</f>
        <v>3492.8373862529202</v>
      </c>
      <c r="H6" s="84">
        <f>+VLOOKUP($A6,'net_benefits CS $m '!$B$4:$O$19,Summary_working!H$1,FALSE)</f>
        <v>3257.9469169700196</v>
      </c>
      <c r="I6" s="84">
        <f>+VLOOKUP($A6,'net_benefits CS $m '!$B$4:$O$19,Summary_working!I$1,FALSE)</f>
        <v>-200.54117376756099</v>
      </c>
      <c r="J6" s="84">
        <f>+VLOOKUP($A6,'net_benefits CS $m '!$B$4:$O$19,Summary_working!J$1,FALSE)</f>
        <v>234.890470779308</v>
      </c>
      <c r="K6" s="84">
        <f>+VLOOKUP($A6,'net_benefits CS $m '!$B$4:$O$19,Summary_working!K$1,FALSE)</f>
        <v>-234.8904692829</v>
      </c>
      <c r="L6" s="84">
        <f>+VLOOKUP($A6,'net_benefits CS $m '!$B$4:$O$19,Summary_working!L$1,FALSE)</f>
        <v>113.000297840423</v>
      </c>
      <c r="M6" s="84">
        <f>+VLOOKUP($A6,'net_benefits CS $m '!$B$4:$O$19,Summary_working!M$1,FALSE)</f>
        <v>117.50829711783</v>
      </c>
    </row>
    <row r="7" spans="1:13" x14ac:dyDescent="0.2">
      <c r="A7" s="1" t="s">
        <v>10</v>
      </c>
      <c r="B7" s="84">
        <f>+VLOOKUP($A7,'net_benefits CS $m '!$B$4:$O$19,Summary_working!B$1,FALSE)</f>
        <v>-312.11058885889099</v>
      </c>
      <c r="C7" s="84">
        <f>+VLOOKUP($A7,'net_benefits CS $m '!$B$4:$O$19,Summary_working!C$1,FALSE)</f>
        <v>-316.24598159732</v>
      </c>
      <c r="D7" s="84">
        <f>+VLOOKUP($A7,'net_benefits CS $m '!$B$4:$O$19,Summary_working!D$1,FALSE)</f>
        <v>66.702996369459498</v>
      </c>
      <c r="E7" s="84">
        <f>+VLOOKUP($A7,'net_benefits CS $m '!$B$4:$O$19,Summary_working!E$1,FALSE)</f>
        <v>19312.306574190101</v>
      </c>
      <c r="F7" s="84">
        <f>+VLOOKUP($A7,'net_benefits CS $m '!$B$4:$O$19,Summary_working!F$1,FALSE)</f>
        <v>19709.565977557799</v>
      </c>
      <c r="G7" s="84">
        <f>+VLOOKUP($A7,'net_benefits CS $m '!$B$4:$O$19,Summary_working!G$1,FALSE)</f>
        <v>3716.0701421845597</v>
      </c>
      <c r="H7" s="84">
        <f>+VLOOKUP($A7,'net_benefits CS $m '!$B$4:$O$19,Summary_working!H$1,FALSE)</f>
        <v>3318.81074034622</v>
      </c>
      <c r="I7" s="84">
        <f>+VLOOKUP($A7,'net_benefits CS $m '!$B$4:$O$19,Summary_working!I$1,FALSE)</f>
        <v>0</v>
      </c>
      <c r="J7" s="84">
        <f>+VLOOKUP($A7,'net_benefits CS $m '!$B$4:$O$19,Summary_working!J$1,FALSE)</f>
        <v>397.25940336764097</v>
      </c>
      <c r="K7" s="84">
        <f>+VLOOKUP($A7,'net_benefits CS $m '!$B$4:$O$19,Summary_working!K$1,FALSE)</f>
        <v>-397.259401838332</v>
      </c>
      <c r="L7" s="84">
        <f>+VLOOKUP($A7,'net_benefits CS $m '!$B$4:$O$19,Summary_working!L$1,FALSE)</f>
        <v>18.445818139290601</v>
      </c>
      <c r="M7" s="84">
        <f>+VLOOKUP($A7,'net_benefits CS $m '!$B$4:$O$19,Summary_working!M$1,FALSE)</f>
        <v>14.3104254008616</v>
      </c>
    </row>
    <row r="8" spans="1:13" x14ac:dyDescent="0.2">
      <c r="A8" s="1" t="s">
        <v>2</v>
      </c>
      <c r="B8" s="84">
        <f>+VLOOKUP($A8,'net_benefits CS $m '!$B$4:$O$19,Summary_working!B$1,FALSE)</f>
        <v>4370.2516145323098</v>
      </c>
      <c r="C8" s="84">
        <f>+VLOOKUP($A8,'net_benefits CS $m '!$B$4:$O$19,Summary_working!C$1,FALSE)</f>
        <v>50.787566160272206</v>
      </c>
      <c r="D8" s="84">
        <f>+VLOOKUP($A8,'net_benefits CS $m '!$B$4:$O$19,Summary_working!D$1,FALSE)</f>
        <v>420.69589603789802</v>
      </c>
      <c r="E8" s="84">
        <f>+VLOOKUP($A8,'net_benefits CS $m '!$B$4:$O$19,Summary_working!E$1,FALSE)</f>
        <v>19312.306574190101</v>
      </c>
      <c r="F8" s="84">
        <f>+VLOOKUP($A8,'net_benefits CS $m '!$B$4:$O$19,Summary_working!F$1,FALSE)</f>
        <v>19680.546157073397</v>
      </c>
      <c r="G8" s="84">
        <f>+VLOOKUP($A8,'net_benefits CS $m '!$B$4:$O$19,Summary_working!G$1,FALSE)</f>
        <v>3716.0701421845497</v>
      </c>
      <c r="H8" s="84">
        <f>+VLOOKUP($A8,'net_benefits CS $m '!$B$4:$O$19,Summary_working!H$1,FALSE)</f>
        <v>3347.83056083056</v>
      </c>
      <c r="I8" s="84">
        <f>+VLOOKUP($A8,'net_benefits CS $m '!$B$4:$O$19,Summary_working!I$1,FALSE)</f>
        <v>-201.52188836770497</v>
      </c>
      <c r="J8" s="84">
        <f>+VLOOKUP($A8,'net_benefits CS $m '!$B$4:$O$19,Summary_working!J$1,FALSE)</f>
        <v>368.239582883293</v>
      </c>
      <c r="K8" s="84">
        <f>+VLOOKUP($A8,'net_benefits CS $m '!$B$4:$O$19,Summary_working!K$1,FALSE)</f>
        <v>-368.23958135398902</v>
      </c>
      <c r="L8" s="84">
        <f>+VLOOKUP($A8,'net_benefits CS $m '!$B$4:$O$19,Summary_working!L$1,FALSE)</f>
        <v>4519.3171897454104</v>
      </c>
      <c r="M8" s="84">
        <f>+VLOOKUP($A8,'net_benefits CS $m '!$B$4:$O$19,Summary_working!M$1,FALSE)</f>
        <v>199.85314137337301</v>
      </c>
    </row>
    <row r="9" spans="1:13" x14ac:dyDescent="0.2">
      <c r="A9" s="1" t="s">
        <v>205</v>
      </c>
      <c r="B9" s="84">
        <f>+VLOOKUP($A9,'net_benefits CS $m '!$B$4:$O$19,Summary_working!B$1,FALSE)</f>
        <v>4575.10988689444</v>
      </c>
      <c r="C9" s="84">
        <f>+VLOOKUP($A9,'net_benefits CS $m '!$B$4:$O$19,Summary_working!C$1,FALSE)</f>
        <v>135.87286026874901</v>
      </c>
      <c r="D9" s="84">
        <f>+VLOOKUP($A9,'net_benefits CS $m '!$B$4:$O$19,Summary_working!D$1,FALSE)</f>
        <v>344.15009154361201</v>
      </c>
      <c r="E9" s="84">
        <f>+VLOOKUP($A9,'net_benefits CS $m '!$B$4:$O$19,Summary_working!E$1,FALSE)</f>
        <v>18729.431757168702</v>
      </c>
      <c r="F9" s="84">
        <f>+VLOOKUP($A9,'net_benefits CS $m '!$B$4:$O$19,Summary_working!F$1,FALSE)</f>
        <v>18874.340847511099</v>
      </c>
      <c r="G9" s="84">
        <f>+VLOOKUP($A9,'net_benefits CS $m '!$B$4:$O$19,Summary_working!G$1,FALSE)</f>
        <v>3492.8373862529202</v>
      </c>
      <c r="H9" s="84">
        <f>+VLOOKUP($A9,'net_benefits CS $m '!$B$4:$O$19,Summary_working!H$1,FALSE)</f>
        <v>3347.9282975852998</v>
      </c>
      <c r="I9" s="84">
        <f>+VLOOKUP($A9,'net_benefits CS $m '!$B$4:$O$19,Summary_working!I$1,FALSE)</f>
        <v>-149.67189242619801</v>
      </c>
      <c r="J9" s="84">
        <f>+VLOOKUP($A9,'net_benefits CS $m '!$B$4:$O$19,Summary_working!J$1,FALSE)</f>
        <v>144.909090342399</v>
      </c>
      <c r="K9" s="84">
        <f>+VLOOKUP($A9,'net_benefits CS $m '!$B$4:$O$19,Summary_working!K$1,FALSE)</f>
        <v>-144.909088667616</v>
      </c>
      <c r="L9" s="84">
        <f>+VLOOKUP($A9,'net_benefits CS $m '!$B$4:$O$19,Summary_working!L$1,FALSE)</f>
        <v>4525.5407781194199</v>
      </c>
      <c r="M9" s="84">
        <f>+VLOOKUP($A9,'net_benefits CS $m '!$B$4:$O$19,Summary_working!M$1,FALSE)</f>
        <v>86.303751493734893</v>
      </c>
    </row>
    <row r="10" spans="1:13" x14ac:dyDescent="0.2">
      <c r="A10" s="1" t="s">
        <v>14</v>
      </c>
      <c r="B10" s="84">
        <f>+VLOOKUP($A10,'net_benefits CS $m '!$B$4:$O$19,Summary_working!B$1,FALSE)</f>
        <v>4834.3275500255204</v>
      </c>
      <c r="C10" s="84">
        <f>+VLOOKUP($A10,'net_benefits CS $m '!$B$4:$O$19,Summary_working!C$1,FALSE)</f>
        <v>135.76483614491002</v>
      </c>
      <c r="D10" s="84">
        <f>+VLOOKUP($A10,'net_benefits CS $m '!$B$4:$O$19,Summary_working!D$1,FALSE)</f>
        <v>351.69954653679901</v>
      </c>
      <c r="E10" s="84">
        <f>+VLOOKUP($A10,'net_benefits CS $m '!$B$4:$O$19,Summary_working!E$1,FALSE)</f>
        <v>18865.344839741403</v>
      </c>
      <c r="F10" s="84">
        <f>+VLOOKUP($A10,'net_benefits CS $m '!$B$4:$O$19,Summary_working!F$1,FALSE)</f>
        <v>19051.5127820415</v>
      </c>
      <c r="G10" s="84">
        <f>+VLOOKUP($A10,'net_benefits CS $m '!$B$4:$O$19,Summary_working!G$1,FALSE)</f>
        <v>3492.8373862529202</v>
      </c>
      <c r="H10" s="84">
        <f>+VLOOKUP($A10,'net_benefits CS $m '!$B$4:$O$19,Summary_working!H$1,FALSE)</f>
        <v>3279.6227420145401</v>
      </c>
      <c r="I10" s="84">
        <f>+VLOOKUP($A10,'net_benefits CS $m '!$B$4:$O$19,Summary_working!I$1,FALSE)</f>
        <v>-168.47352437330898</v>
      </c>
      <c r="J10" s="84">
        <f>+VLOOKUP($A10,'net_benefits CS $m '!$B$4:$O$19,Summary_working!J$1,FALSE)</f>
        <v>186.16794230009799</v>
      </c>
      <c r="K10" s="84">
        <f>+VLOOKUP($A10,'net_benefits CS $m '!$B$4:$O$19,Summary_working!K$1,FALSE)</f>
        <v>-213.214644238376</v>
      </c>
      <c r="L10" s="84">
        <f>+VLOOKUP($A10,'net_benefits CS $m '!$B$4:$O$19,Summary_working!L$1,FALSE)</f>
        <v>4837.2694701621303</v>
      </c>
      <c r="M10" s="84">
        <f>+VLOOKUP($A10,'net_benefits CS $m '!$B$4:$O$19,Summary_working!M$1,FALSE)</f>
        <v>138.70675628151901</v>
      </c>
    </row>
    <row r="11" spans="1:13" x14ac:dyDescent="0.2">
      <c r="A11" s="1" t="s">
        <v>12</v>
      </c>
      <c r="B11" s="84">
        <f>+VLOOKUP($A11,'net_benefits CS $m '!$B$4:$O$19,Summary_working!B$1,FALSE)</f>
        <v>4.7697503784764992</v>
      </c>
      <c r="C11" s="84">
        <f>+VLOOKUP($A11,'net_benefits CS $m '!$B$4:$O$19,Summary_working!C$1,FALSE)</f>
        <v>4.0529253280545499</v>
      </c>
      <c r="D11" s="84">
        <f>+VLOOKUP($A11,'net_benefits CS $m '!$B$4:$O$19,Summary_working!D$1,FALSE)</f>
        <v>8.0042401789675193</v>
      </c>
      <c r="E11" s="84">
        <f>+VLOOKUP($A11,'net_benefits CS $m '!$B$4:$O$19,Summary_working!E$1,FALSE)</f>
        <v>19312.306574190101</v>
      </c>
      <c r="F11" s="84">
        <f>+VLOOKUP($A11,'net_benefits CS $m '!$B$4:$O$19,Summary_working!F$1,FALSE)</f>
        <v>19312.306574190101</v>
      </c>
      <c r="G11" s="84">
        <f>+VLOOKUP($A11,'net_benefits CS $m '!$B$4:$O$19,Summary_working!G$1,FALSE)</f>
        <v>3716.0701421845597</v>
      </c>
      <c r="H11" s="84">
        <f>+VLOOKUP($A11,'net_benefits CS $m '!$B$4:$O$19,Summary_working!H$1,FALSE)</f>
        <v>3716.0701421845597</v>
      </c>
      <c r="I11" s="84">
        <f>+VLOOKUP($A11,'net_benefits CS $m '!$B$4:$O$19,Summary_working!I$1,FALSE)</f>
        <v>0</v>
      </c>
      <c r="J11" s="84">
        <f>+VLOOKUP($A11,'net_benefits CS $m '!$B$4:$O$19,Summary_working!J$1,FALSE)</f>
        <v>0</v>
      </c>
      <c r="K11" s="84">
        <f>+VLOOKUP($A11,'net_benefits CS $m '!$B$4:$O$19,Summary_working!K$1,FALSE)</f>
        <v>-1.43051147460937E-12</v>
      </c>
      <c r="L11" s="84">
        <f>+VLOOKUP($A11,'net_benefits CS $m '!$B$4:$O$19,Summary_working!L$1,FALSE)</f>
        <v>-3.2344898004910201</v>
      </c>
      <c r="M11" s="84">
        <f>+VLOOKUP($A11,'net_benefits CS $m '!$B$4:$O$19,Summary_working!M$1,FALSE)</f>
        <v>-3.9513148509129596</v>
      </c>
    </row>
    <row r="12" spans="1:13" x14ac:dyDescent="0.2">
      <c r="A12" s="1" t="s">
        <v>4</v>
      </c>
      <c r="B12" s="84">
        <f>+VLOOKUP($A12,'net_benefits CS $m '!$B$4:$O$19,Summary_working!B$1,FALSE)</f>
        <v>3229.0703852378201</v>
      </c>
      <c r="C12" s="84">
        <f>+VLOOKUP($A12,'net_benefits CS $m '!$B$4:$O$19,Summary_working!C$1,FALSE)</f>
        <v>320.56979173175699</v>
      </c>
      <c r="D12" s="84">
        <f>+VLOOKUP($A12,'net_benefits CS $m '!$B$4:$O$19,Summary_working!D$1,FALSE)</f>
        <v>341.91252746149598</v>
      </c>
      <c r="E12" s="84">
        <f>+VLOOKUP($A12,'net_benefits CS $m '!$B$4:$O$19,Summary_working!E$1,FALSE)</f>
        <v>19312.306574190101</v>
      </c>
      <c r="F12" s="84">
        <f>+VLOOKUP($A12,'net_benefits CS $m '!$B$4:$O$19,Summary_working!F$1,FALSE)</f>
        <v>19312.306574190101</v>
      </c>
      <c r="G12" s="84">
        <f>+VLOOKUP($A12,'net_benefits CS $m '!$B$4:$O$19,Summary_working!G$1,FALSE)</f>
        <v>3716.0701421845497</v>
      </c>
      <c r="H12" s="84">
        <f>+VLOOKUP($A12,'net_benefits CS $m '!$B$4:$O$19,Summary_working!H$1,FALSE)</f>
        <v>3716.0701421845497</v>
      </c>
      <c r="I12" s="84">
        <f>+VLOOKUP($A12,'net_benefits CS $m '!$B$4:$O$19,Summary_working!I$1,FALSE)</f>
        <v>-222.436517734126</v>
      </c>
      <c r="J12" s="84">
        <f>+VLOOKUP($A12,'net_benefits CS $m '!$B$4:$O$19,Summary_working!J$1,FALSE)</f>
        <v>-3.8146972656249998E-12</v>
      </c>
      <c r="K12" s="84">
        <f>+VLOOKUP($A12,'net_benefits CS $m '!$B$4:$O$19,Summary_working!K$1,FALSE)</f>
        <v>0</v>
      </c>
      <c r="L12" s="84">
        <f>+VLOOKUP($A12,'net_benefits CS $m '!$B$4:$O$19,Summary_working!L$1,FALSE)</f>
        <v>3109.5943755104499</v>
      </c>
      <c r="M12" s="84">
        <f>+VLOOKUP($A12,'net_benefits CS $m '!$B$4:$O$19,Summary_working!M$1,FALSE)</f>
        <v>201.093782004383</v>
      </c>
    </row>
    <row r="13" spans="1:13" x14ac:dyDescent="0.2">
      <c r="A13" s="1" t="s">
        <v>3</v>
      </c>
      <c r="B13" s="84">
        <f>+VLOOKUP($A13,'net_benefits CS $m '!$B$4:$O$19,Summary_working!B$1,FALSE)</f>
        <v>4531.8319888692995</v>
      </c>
      <c r="C13" s="84">
        <f>+VLOOKUP($A13,'net_benefits CS $m '!$B$4:$O$19,Summary_working!C$1,FALSE)</f>
        <v>116.30920143552899</v>
      </c>
      <c r="D13" s="84">
        <f>+VLOOKUP($A13,'net_benefits CS $m '!$B$4:$O$19,Summary_working!D$1,FALSE)</f>
        <v>422.16954425417697</v>
      </c>
      <c r="E13" s="84">
        <f>+VLOOKUP($A13,'net_benefits CS $m '!$B$4:$O$19,Summary_working!E$1,FALSE)</f>
        <v>19312.306574190101</v>
      </c>
      <c r="F13" s="84">
        <f>+VLOOKUP($A13,'net_benefits CS $m '!$B$4:$O$19,Summary_working!F$1,FALSE)</f>
        <v>19607.362560787202</v>
      </c>
      <c r="G13" s="84">
        <f>+VLOOKUP($A13,'net_benefits CS $m '!$B$4:$O$19,Summary_working!G$1,FALSE)</f>
        <v>3716.0701421845497</v>
      </c>
      <c r="H13" s="84">
        <f>+VLOOKUP($A13,'net_benefits CS $m '!$B$4:$O$19,Summary_working!H$1,FALSE)</f>
        <v>3421.0141569935399</v>
      </c>
      <c r="I13" s="84">
        <f>+VLOOKUP($A13,'net_benefits CS $m '!$B$4:$O$19,Summary_working!I$1,FALSE)</f>
        <v>-201.53480651679999</v>
      </c>
      <c r="J13" s="84">
        <f>+VLOOKUP($A13,'net_benefits CS $m '!$B$4:$O$19,Summary_working!J$1,FALSE)</f>
        <v>295.055986597095</v>
      </c>
      <c r="K13" s="84">
        <f>+VLOOKUP($A13,'net_benefits CS $m '!$B$4:$O$19,Summary_working!K$1,FALSE)</f>
        <v>-295.055985191015</v>
      </c>
      <c r="L13" s="84">
        <f>+VLOOKUP($A13,'net_benefits CS $m '!$B$4:$O$19,Summary_working!L$1,FALSE)</f>
        <v>4606.2532377290199</v>
      </c>
      <c r="M13" s="84">
        <f>+VLOOKUP($A13,'net_benefits CS $m '!$B$4:$O$19,Summary_working!M$1,FALSE)</f>
        <v>190.73045029524698</v>
      </c>
    </row>
    <row r="14" spans="1:13" x14ac:dyDescent="0.2">
      <c r="A14" s="1" t="s">
        <v>13</v>
      </c>
      <c r="B14" s="84">
        <f>+VLOOKUP($A14,'net_benefits CS $m '!$B$4:$O$19,Summary_working!B$1,FALSE)</f>
        <v>3832.2586854168503</v>
      </c>
      <c r="C14" s="84">
        <f>+VLOOKUP($A14,'net_benefits CS $m '!$B$4:$O$19,Summary_working!C$1,FALSE)</f>
        <v>-526.28251091723098</v>
      </c>
      <c r="D14" s="84">
        <f>+VLOOKUP($A14,'net_benefits CS $m '!$B$4:$O$19,Summary_working!D$1,FALSE)</f>
        <v>412.40411367656998</v>
      </c>
      <c r="E14" s="84">
        <f>+VLOOKUP($A14,'net_benefits CS $m '!$B$4:$O$19,Summary_working!E$1,FALSE)</f>
        <v>19312.306574190101</v>
      </c>
      <c r="F14" s="84">
        <f>+VLOOKUP($A14,'net_benefits CS $m '!$B$4:$O$19,Summary_working!F$1,FALSE)</f>
        <v>20245.9043845173</v>
      </c>
      <c r="G14" s="84">
        <f>+VLOOKUP($A14,'net_benefits CS $m '!$B$4:$O$19,Summary_working!G$1,FALSE)</f>
        <v>3716.0701421845497</v>
      </c>
      <c r="H14" s="84">
        <f>+VLOOKUP($A14,'net_benefits CS $m '!$B$4:$O$19,Summary_working!H$1,FALSE)</f>
        <v>2782.4723319359196</v>
      </c>
      <c r="I14" s="84">
        <f>+VLOOKUP($A14,'net_benefits CS $m '!$B$4:$O$19,Summary_working!I$1,FALSE)</f>
        <v>-201.56641030684702</v>
      </c>
      <c r="J14" s="84">
        <f>+VLOOKUP($A14,'net_benefits CS $m '!$B$4:$O$19,Summary_working!J$1,FALSE)</f>
        <v>933.59781032717501</v>
      </c>
      <c r="K14" s="84">
        <f>+VLOOKUP($A14,'net_benefits CS $m '!$B$4:$O$19,Summary_working!K$1,FALSE)</f>
        <v>-933.59781024863298</v>
      </c>
      <c r="L14" s="84">
        <f>+VLOOKUP($A14,'net_benefits CS $m '!$B$4:$O$19,Summary_working!L$1,FALSE)</f>
        <v>4555.0187923742997</v>
      </c>
      <c r="M14" s="84">
        <f>+VLOOKUP($A14,'net_benefits CS $m '!$B$4:$O$19,Summary_working!M$1,FALSE)</f>
        <v>196.47759604022102</v>
      </c>
    </row>
    <row r="15" spans="1:13" x14ac:dyDescent="0.2">
      <c r="A15" s="1" t="s">
        <v>11</v>
      </c>
      <c r="B15" s="84">
        <f>+VLOOKUP($A15,'net_benefits CS $m '!$B$4:$O$19,Summary_working!B$1,FALSE)</f>
        <v>-768.57547822665299</v>
      </c>
      <c r="C15" s="84">
        <f>+VLOOKUP($A15,'net_benefits CS $m '!$B$4:$O$19,Summary_working!C$1,FALSE)</f>
        <v>-775.77712167704999</v>
      </c>
      <c r="D15" s="84">
        <f>+VLOOKUP($A15,'net_benefits CS $m '!$B$4:$O$19,Summary_working!D$1,FALSE)</f>
        <v>54.260169575154301</v>
      </c>
      <c r="E15" s="84">
        <f>+VLOOKUP($A15,'net_benefits CS $m '!$B$4:$O$19,Summary_working!E$1,FALSE)</f>
        <v>18729.431757168702</v>
      </c>
      <c r="F15" s="84">
        <f>+VLOOKUP($A15,'net_benefits CS $m '!$B$4:$O$19,Summary_working!F$1,FALSE)</f>
        <v>19530.756014136299</v>
      </c>
      <c r="G15" s="84">
        <f>+VLOOKUP($A15,'net_benefits CS $m '!$B$4:$O$19,Summary_working!G$1,FALSE)</f>
        <v>3492.8373862529202</v>
      </c>
      <c r="H15" s="84">
        <f>+VLOOKUP($A15,'net_benefits CS $m '!$B$4:$O$19,Summary_working!H$1,FALSE)</f>
        <v>2691.5131293309596</v>
      </c>
      <c r="I15" s="84">
        <f>+VLOOKUP($A15,'net_benefits CS $m '!$B$4:$O$19,Summary_working!I$1,FALSE)</f>
        <v>0</v>
      </c>
      <c r="J15" s="84">
        <f>+VLOOKUP($A15,'net_benefits CS $m '!$B$4:$O$19,Summary_working!J$1,FALSE)</f>
        <v>801.32425696758196</v>
      </c>
      <c r="K15" s="84">
        <f>+VLOOKUP($A15,'net_benefits CS $m '!$B$4:$O$19,Summary_working!K$1,FALSE)</f>
        <v>-801.32425692195795</v>
      </c>
      <c r="L15" s="84">
        <f>+VLOOKUP($A15,'net_benefits CS $m '!$B$4:$O$19,Summary_working!L$1,FALSE)</f>
        <v>-21.511390834225402</v>
      </c>
      <c r="M15" s="84">
        <f>+VLOOKUP($A15,'net_benefits CS $m '!$B$4:$O$19,Summary_working!M$1,FALSE)</f>
        <v>-28.713034284622402</v>
      </c>
    </row>
    <row r="16" spans="1:13" x14ac:dyDescent="0.2">
      <c r="A16" s="1" t="s">
        <v>1</v>
      </c>
      <c r="B16" s="84">
        <f>+VLOOKUP($A16,'net_benefits CS $m '!$B$4:$O$19,Summary_working!B$1,FALSE)</f>
        <v>4276.5182806829698</v>
      </c>
      <c r="C16" s="84">
        <f>+VLOOKUP($A16,'net_benefits CS $m '!$B$4:$O$19,Summary_working!C$1,FALSE)</f>
        <v>-42.671190802165299</v>
      </c>
      <c r="D16" s="84">
        <f>+VLOOKUP($A16,'net_benefits CS $m '!$B$4:$O$19,Summary_working!D$1,FALSE)</f>
        <v>419.15352230181497</v>
      </c>
      <c r="E16" s="84">
        <f>+VLOOKUP($A16,'net_benefits CS $m '!$B$4:$O$19,Summary_working!E$1,FALSE)</f>
        <v>19312.306574190101</v>
      </c>
      <c r="F16" s="84">
        <f>+VLOOKUP($A16,'net_benefits CS $m '!$B$4:$O$19,Summary_working!F$1,FALSE)</f>
        <v>19774.096017263098</v>
      </c>
      <c r="G16" s="84">
        <f>+VLOOKUP($A16,'net_benefits CS $m '!$B$4:$O$19,Summary_working!G$1,FALSE)</f>
        <v>3716.0701421845497</v>
      </c>
      <c r="H16" s="84">
        <f>+VLOOKUP($A16,'net_benefits CS $m '!$B$4:$O$19,Summary_working!H$1,FALSE)</f>
        <v>3254.2807006408702</v>
      </c>
      <c r="I16" s="84">
        <f>+VLOOKUP($A16,'net_benefits CS $m '!$B$4:$O$19,Summary_working!I$1,FALSE)</f>
        <v>-201.52517896169098</v>
      </c>
      <c r="J16" s="84">
        <f>+VLOOKUP($A16,'net_benefits CS $m '!$B$4:$O$19,Summary_working!J$1,FALSE)</f>
        <v>461.789443072994</v>
      </c>
      <c r="K16" s="84">
        <f>+VLOOKUP($A16,'net_benefits CS $m '!$B$4:$O$19,Summary_working!K$1,FALSE)</f>
        <v>-461.78944154368105</v>
      </c>
      <c r="L16" s="84">
        <f>+VLOOKUP($A16,'net_benefits CS $m '!$B$4:$O$19,Summary_working!L$1,FALSE)</f>
        <v>4520.6793804158406</v>
      </c>
      <c r="M16" s="84">
        <f>+VLOOKUP($A16,'net_benefits CS $m '!$B$4:$O$19,Summary_working!M$1,FALSE)</f>
        <v>201.48990893070399</v>
      </c>
    </row>
    <row r="17" spans="1:13" x14ac:dyDescent="0.2">
      <c r="A17" s="5" t="s">
        <v>5</v>
      </c>
      <c r="B17" s="18">
        <f>+VLOOKUP($A17,'net_benefits CS $m '!$B$4:$O$19,Summary_working!B$1,FALSE)</f>
        <v>5531.4498985167802</v>
      </c>
      <c r="C17" s="18">
        <f>+VLOOKUP($A17,'net_benefits CS $m '!$B$4:$O$19,Summary_working!C$1,FALSE)</f>
        <v>707.55759934013611</v>
      </c>
      <c r="D17" s="18">
        <f>+VLOOKUP($A17,'net_benefits CS $m '!$B$4:$O$19,Summary_working!D$1,FALSE)</f>
        <v>446.81142398275796</v>
      </c>
      <c r="E17" s="18">
        <f>+VLOOKUP($A17,'net_benefits CS $m '!$B$4:$O$19,Summary_working!E$1,FALSE)</f>
        <v>19312.306574190101</v>
      </c>
      <c r="F17" s="18">
        <f>+VLOOKUP($A17,'net_benefits CS $m '!$B$4:$O$19,Summary_working!F$1,FALSE)</f>
        <v>19047.143635728098</v>
      </c>
      <c r="G17" s="18">
        <f>+VLOOKUP($A17,'net_benefits CS $m '!$B$4:$O$19,Summary_working!G$1,FALSE)</f>
        <v>3716.0701421845497</v>
      </c>
      <c r="H17" s="18">
        <f>+VLOOKUP($A17,'net_benefits CS $m '!$B$4:$O$19,Summary_working!H$1,FALSE)</f>
        <v>3981.2330821758801</v>
      </c>
      <c r="I17" s="18">
        <f>+VLOOKUP($A17,'net_benefits CS $m '!$B$4:$O$19,Summary_working!I$1,FALSE)</f>
        <v>-200.56951218087599</v>
      </c>
      <c r="J17" s="18">
        <f>+VLOOKUP($A17,'net_benefits CS $m '!$B$4:$O$19,Summary_working!J$1,FALSE)</f>
        <v>-265.16293846200904</v>
      </c>
      <c r="K17" s="18">
        <f>+VLOOKUP($A17,'net_benefits CS $m '!$B$4:$O$19,Summary_working!K$1,FALSE)</f>
        <v>265.16293999132102</v>
      </c>
      <c r="L17" s="18">
        <f>+VLOOKUP($A17,'net_benefits CS $m '!$B$4:$O$19,Summary_working!L$1,FALSE)</f>
        <v>5020.0450482528895</v>
      </c>
      <c r="M17" s="18">
        <f>+VLOOKUP($A17,'net_benefits CS $m '!$B$4:$O$19,Summary_working!M$1,FALSE)</f>
        <v>196.15274907624502</v>
      </c>
    </row>
    <row r="18" spans="1:13" x14ac:dyDescent="0.2">
      <c r="A18" s="3" t="s">
        <v>6</v>
      </c>
      <c r="B18" s="21">
        <f>+VLOOKUP($A18,'net_benefits CS $m '!$B$4:$O$19,Summary_working!B$1,FALSE)</f>
        <v>2216.7178800449601</v>
      </c>
      <c r="C18" s="21">
        <f>+VLOOKUP($A18,'net_benefits CS $m '!$B$4:$O$19,Summary_working!C$1,FALSE)</f>
        <v>82.957513079116708</v>
      </c>
      <c r="D18" s="21">
        <f>+VLOOKUP($A18,'net_benefits CS $m '!$B$4:$O$19,Summary_working!D$1,FALSE)</f>
        <v>90.921778239960403</v>
      </c>
      <c r="E18" s="21">
        <f>+VLOOKUP($A18,'net_benefits CS $m '!$B$4:$O$19,Summary_working!E$1,FALSE)</f>
        <v>19312.306574190101</v>
      </c>
      <c r="F18" s="21">
        <f>+VLOOKUP($A18,'net_benefits CS $m '!$B$4:$O$19,Summary_working!F$1,FALSE)</f>
        <v>19683.706291797</v>
      </c>
      <c r="G18" s="21">
        <f>+VLOOKUP($A18,'net_benefits CS $m '!$B$4:$O$19,Summary_working!G$1,FALSE)</f>
        <v>3716.0701421845497</v>
      </c>
      <c r="H18" s="21">
        <f>+VLOOKUP($A18,'net_benefits CS $m '!$B$4:$O$19,Summary_working!H$1,FALSE)</f>
        <v>3344.6704261069999</v>
      </c>
      <c r="I18" s="21">
        <f>+VLOOKUP($A18,'net_benefits CS $m '!$B$4:$O$19,Summary_working!I$1,FALSE)</f>
        <v>-215.54167005259799</v>
      </c>
      <c r="J18" s="21">
        <f>+VLOOKUP($A18,'net_benefits CS $m '!$B$4:$O$19,Summary_working!J$1,FALSE)</f>
        <v>371.399717606857</v>
      </c>
      <c r="K18" s="21">
        <f>+VLOOKUP($A18,'net_benefits CS $m '!$B$4:$O$19,Summary_working!K$1,FALSE)</f>
        <v>-371.39971607755103</v>
      </c>
      <c r="L18" s="21">
        <f>+VLOOKUP($A18,'net_benefits CS $m '!$B$4:$O$19,Summary_working!L$1,FALSE)</f>
        <v>2712.7374894644599</v>
      </c>
      <c r="M18" s="21">
        <f>+VLOOKUP($A18,'net_benefits CS $m '!$B$4:$O$19,Summary_working!M$1,FALSE)</f>
        <v>578.97712249861206</v>
      </c>
    </row>
    <row r="21" spans="1:13" ht="84" x14ac:dyDescent="0.2">
      <c r="A21" s="10" t="s">
        <v>156</v>
      </c>
      <c r="B21" s="10" t="s">
        <v>157</v>
      </c>
      <c r="C21" s="10" t="s">
        <v>158</v>
      </c>
      <c r="D21" s="10" t="s">
        <v>159</v>
      </c>
      <c r="E21" s="10" t="s">
        <v>160</v>
      </c>
      <c r="F21" s="10" t="s">
        <v>161</v>
      </c>
      <c r="G21" s="10" t="s">
        <v>162</v>
      </c>
      <c r="H21" s="10" t="s">
        <v>163</v>
      </c>
      <c r="I21" s="10" t="s">
        <v>173</v>
      </c>
      <c r="J21" s="10" t="s">
        <v>164</v>
      </c>
      <c r="K21" s="10" t="s">
        <v>165</v>
      </c>
      <c r="L21" s="10" t="s">
        <v>166</v>
      </c>
      <c r="M21" s="10" t="s">
        <v>167</v>
      </c>
    </row>
    <row r="22" spans="1:13" x14ac:dyDescent="0.2">
      <c r="A22" s="1" t="s">
        <v>7</v>
      </c>
      <c r="B22" s="84">
        <f>+VLOOKUP($A22,'net_benefits CV $m  '!$B$4:$O$30,Summary_working!B$1,FALSE)</f>
        <v>1188.60807755122</v>
      </c>
      <c r="C22" s="84">
        <f>+VLOOKUP($A22,'net_benefits CV $m  '!$B$4:$O$30,Summary_working!C$1,FALSE)</f>
        <v>1194.5608761988699</v>
      </c>
      <c r="D22" s="84">
        <f>+VLOOKUP($A22,'net_benefits CV $m  '!$B$4:$O$30,Summary_working!D$1,FALSE)</f>
        <v>56.5447051251586</v>
      </c>
      <c r="E22" s="84">
        <f>+VLOOKUP($A22,'net_benefits CV $m  '!$B$4:$O$30,Summary_working!E$1,FALSE)</f>
        <v>18729.431757168702</v>
      </c>
      <c r="F22" s="84">
        <f>+VLOOKUP($A22,'net_benefits CV $m  '!$B$4:$O$30,Summary_working!F$1,FALSE)</f>
        <v>18964.322227948003</v>
      </c>
      <c r="G22" s="84">
        <f>+VLOOKUP($A22,'net_benefits CV $m  '!$B$4:$O$30,Summary_working!G$1,FALSE)</f>
        <v>3492.8373862529202</v>
      </c>
      <c r="H22" s="84">
        <f>+VLOOKUP($A22,'net_benefits CV $m  '!$B$4:$O$30,Summary_working!H$1,FALSE)</f>
        <v>3257.9469169700196</v>
      </c>
      <c r="I22" s="84">
        <f>+VLOOKUP($A22,'net_benefits CV $m  '!$B$4:$O$30,Summary_working!I$1,FALSE)</f>
        <v>0</v>
      </c>
      <c r="J22" s="84">
        <f>+VLOOKUP($A22,'net_benefits CV $m  '!$B$4:$O$30,Summary_working!J$1,FALSE)</f>
        <v>234.890470779304</v>
      </c>
      <c r="K22" s="84">
        <f>+VLOOKUP($A22,'net_benefits CV $m  '!$B$4:$O$30,Summary_working!K$1,FALSE)</f>
        <v>-234.8904692829</v>
      </c>
      <c r="L22" s="84">
        <f>+VLOOKUP($A22,'net_benefits CV $m  '!$B$4:$O$30,Summary_working!L$1,FALSE)</f>
        <v>1366.95384320536</v>
      </c>
      <c r="M22" s="84">
        <f>+VLOOKUP($A22,'net_benefits CV $m  '!$B$4:$O$30,Summary_working!M$1,FALSE)</f>
        <v>1372.9066418530199</v>
      </c>
    </row>
    <row r="23" spans="1:13" x14ac:dyDescent="0.2">
      <c r="A23" s="1" t="s">
        <v>9</v>
      </c>
      <c r="B23" s="84">
        <f>+VLOOKUP($A23,'net_benefits CV $m  '!$B$4:$O$30,Summary_working!B$1,FALSE)</f>
        <v>2121.26690911483</v>
      </c>
      <c r="C23" s="84">
        <f>+VLOOKUP($A23,'net_benefits CV $m  '!$B$4:$O$30,Summary_working!C$1,FALSE)</f>
        <v>1238.2124344728702</v>
      </c>
      <c r="D23" s="84">
        <f>+VLOOKUP($A23,'net_benefits CV $m  '!$B$4:$O$30,Summary_working!D$1,FALSE)</f>
        <v>117.906910566329</v>
      </c>
      <c r="E23" s="84">
        <f>+VLOOKUP($A23,'net_benefits CV $m  '!$B$4:$O$30,Summary_working!E$1,FALSE)</f>
        <v>18729.431757168702</v>
      </c>
      <c r="F23" s="84">
        <f>+VLOOKUP($A23,'net_benefits CV $m  '!$B$4:$O$30,Summary_working!F$1,FALSE)</f>
        <v>18944.379074649798</v>
      </c>
      <c r="G23" s="84">
        <f>+VLOOKUP($A23,'net_benefits CV $m  '!$B$4:$O$30,Summary_working!G$1,FALSE)</f>
        <v>3492.8373862529202</v>
      </c>
      <c r="H23" s="84">
        <f>+VLOOKUP($A23,'net_benefits CV $m  '!$B$4:$O$30,Summary_working!H$1,FALSE)</f>
        <v>3277.8900702682199</v>
      </c>
      <c r="I23" s="84">
        <f>+VLOOKUP($A23,'net_benefits CV $m  '!$B$4:$O$30,Summary_working!I$1,FALSE)</f>
        <v>0</v>
      </c>
      <c r="J23" s="84">
        <f>+VLOOKUP($A23,'net_benefits CV $m  '!$B$4:$O$30,Summary_working!J$1,FALSE)</f>
        <v>214.947317481098</v>
      </c>
      <c r="K23" s="84">
        <f>+VLOOKUP($A23,'net_benefits CV $m  '!$B$4:$O$30,Summary_working!K$1,FALSE)</f>
        <v>-214.94731598469201</v>
      </c>
      <c r="L23" s="84">
        <f>+VLOOKUP($A23,'net_benefits CV $m  '!$B$4:$O$30,Summary_working!L$1,FALSE)</f>
        <v>2218.3073160296003</v>
      </c>
      <c r="M23" s="84">
        <f>+VLOOKUP($A23,'net_benefits CV $m  '!$B$4:$O$30,Summary_working!M$1,FALSE)</f>
        <v>1335.25284138764</v>
      </c>
    </row>
    <row r="24" spans="1:13" x14ac:dyDescent="0.2">
      <c r="A24" s="1" t="s">
        <v>8</v>
      </c>
      <c r="B24" s="84">
        <f>+VLOOKUP($A24,'net_benefits CV $m  '!$B$4:$O$30,Summary_working!B$1,FALSE)</f>
        <v>1258.7675448948901</v>
      </c>
      <c r="C24" s="84">
        <f>+VLOOKUP($A24,'net_benefits CV $m  '!$B$4:$O$30,Summary_working!C$1,FALSE)</f>
        <v>1301.1306705283998</v>
      </c>
      <c r="D24" s="84">
        <f>+VLOOKUP($A24,'net_benefits CV $m  '!$B$4:$O$30,Summary_working!D$1,FALSE)</f>
        <v>341.63522645485301</v>
      </c>
      <c r="E24" s="84">
        <f>+VLOOKUP($A24,'net_benefits CV $m  '!$B$4:$O$30,Summary_working!E$1,FALSE)</f>
        <v>18729.431757168702</v>
      </c>
      <c r="F24" s="84">
        <f>+VLOOKUP($A24,'net_benefits CV $m  '!$B$4:$O$30,Summary_working!F$1,FALSE)</f>
        <v>18964.322227948003</v>
      </c>
      <c r="G24" s="84">
        <f>+VLOOKUP($A24,'net_benefits CV $m  '!$B$4:$O$30,Summary_working!G$1,FALSE)</f>
        <v>3492.8373862529202</v>
      </c>
      <c r="H24" s="84">
        <f>+VLOOKUP($A24,'net_benefits CV $m  '!$B$4:$O$30,Summary_working!H$1,FALSE)</f>
        <v>3257.9469169700196</v>
      </c>
      <c r="I24" s="84">
        <f>+VLOOKUP($A24,'net_benefits CV $m  '!$B$4:$O$30,Summary_working!I$1,FALSE)</f>
        <v>-200.54117376756099</v>
      </c>
      <c r="J24" s="84">
        <f>+VLOOKUP($A24,'net_benefits CV $m  '!$B$4:$O$30,Summary_working!J$1,FALSE)</f>
        <v>234.890470779308</v>
      </c>
      <c r="K24" s="84">
        <f>+VLOOKUP($A24,'net_benefits CV $m  '!$B$4:$O$30,Summary_working!K$1,FALSE)</f>
        <v>-234.8904692829</v>
      </c>
      <c r="L24" s="84">
        <f>+VLOOKUP($A24,'net_benefits CV $m  '!$B$4:$O$30,Summary_working!L$1,FALSE)</f>
        <v>1352.5639629869002</v>
      </c>
      <c r="M24" s="84">
        <f>+VLOOKUP($A24,'net_benefits CV $m  '!$B$4:$O$30,Summary_working!M$1,FALSE)</f>
        <v>1394.9270886204099</v>
      </c>
    </row>
    <row r="25" spans="1:13" x14ac:dyDescent="0.2">
      <c r="A25" s="1" t="s">
        <v>10</v>
      </c>
      <c r="B25" s="84">
        <f>+VLOOKUP($A25,'net_benefits CV $m  '!$B$4:$O$30,Summary_working!B$1,FALSE)</f>
        <v>1322.6045443519399</v>
      </c>
      <c r="C25" s="84">
        <f>+VLOOKUP($A25,'net_benefits CV $m  '!$B$4:$O$30,Summary_working!C$1,FALSE)</f>
        <v>1327.85240227176</v>
      </c>
      <c r="D25" s="84">
        <f>+VLOOKUP($A25,'net_benefits CV $m  '!$B$4:$O$30,Summary_working!D$1,FALSE)</f>
        <v>66.702996369459498</v>
      </c>
      <c r="E25" s="84">
        <f>+VLOOKUP($A25,'net_benefits CV $m  '!$B$4:$O$30,Summary_working!E$1,FALSE)</f>
        <v>19312.306574190101</v>
      </c>
      <c r="F25" s="84">
        <f>+VLOOKUP($A25,'net_benefits CV $m  '!$B$4:$O$30,Summary_working!F$1,FALSE)</f>
        <v>19709.565977557799</v>
      </c>
      <c r="G25" s="84">
        <f>+VLOOKUP($A25,'net_benefits CV $m  '!$B$4:$O$30,Summary_working!G$1,FALSE)</f>
        <v>3716.0701421845597</v>
      </c>
      <c r="H25" s="84">
        <f>+VLOOKUP($A25,'net_benefits CV $m  '!$B$4:$O$30,Summary_working!H$1,FALSE)</f>
        <v>3318.81074034622</v>
      </c>
      <c r="I25" s="84">
        <f>+VLOOKUP($A25,'net_benefits CV $m  '!$B$4:$O$30,Summary_working!I$1,FALSE)</f>
        <v>0</v>
      </c>
      <c r="J25" s="84">
        <f>+VLOOKUP($A25,'net_benefits CV $m  '!$B$4:$O$30,Summary_working!J$1,FALSE)</f>
        <v>397.25940336764097</v>
      </c>
      <c r="K25" s="84">
        <f>+VLOOKUP($A25,'net_benefits CV $m  '!$B$4:$O$30,Summary_working!K$1,FALSE)</f>
        <v>-397.259401838332</v>
      </c>
      <c r="L25" s="84">
        <f>+VLOOKUP($A25,'net_benefits CV $m  '!$B$4:$O$30,Summary_working!L$1,FALSE)</f>
        <v>1653.1609513501301</v>
      </c>
      <c r="M25" s="84">
        <f>+VLOOKUP($A25,'net_benefits CV $m  '!$B$4:$O$30,Summary_working!M$1,FALSE)</f>
        <v>1658.4088092699399</v>
      </c>
    </row>
    <row r="26" spans="1:13" x14ac:dyDescent="0.2">
      <c r="A26" s="1" t="s">
        <v>2</v>
      </c>
      <c r="B26" s="84">
        <f>+VLOOKUP($A26,'net_benefits CV $m  '!$B$4:$O$30,Summary_working!B$1,FALSE)</f>
        <v>5309.4137131081798</v>
      </c>
      <c r="C26" s="84">
        <f>+VLOOKUP($A26,'net_benefits CV $m  '!$B$4:$O$30,Summary_working!C$1,FALSE)</f>
        <v>1735.49781205616</v>
      </c>
      <c r="D26" s="84">
        <f>+VLOOKUP($A26,'net_benefits CV $m  '!$B$4:$O$30,Summary_working!D$1,FALSE)</f>
        <v>420.69589603789802</v>
      </c>
      <c r="E26" s="84">
        <f>+VLOOKUP($A26,'net_benefits CV $m  '!$B$4:$O$30,Summary_working!E$1,FALSE)</f>
        <v>19312.306574190101</v>
      </c>
      <c r="F26" s="84">
        <f>+VLOOKUP($A26,'net_benefits CV $m  '!$B$4:$O$30,Summary_working!F$1,FALSE)</f>
        <v>19680.546157073397</v>
      </c>
      <c r="G26" s="84">
        <f>+VLOOKUP($A26,'net_benefits CV $m  '!$B$4:$O$30,Summary_working!G$1,FALSE)</f>
        <v>3716.0701421845497</v>
      </c>
      <c r="H26" s="84">
        <f>+VLOOKUP($A26,'net_benefits CV $m  '!$B$4:$O$30,Summary_working!H$1,FALSE)</f>
        <v>3347.83056083056</v>
      </c>
      <c r="I26" s="84">
        <f>+VLOOKUP($A26,'net_benefits CV $m  '!$B$4:$O$30,Summary_working!I$1,FALSE)</f>
        <v>-201.52188836770497</v>
      </c>
      <c r="J26" s="84">
        <f>+VLOOKUP($A26,'net_benefits CV $m  '!$B$4:$O$30,Summary_working!J$1,FALSE)</f>
        <v>368.239582883293</v>
      </c>
      <c r="K26" s="84">
        <f>+VLOOKUP($A26,'net_benefits CV $m  '!$B$4:$O$30,Summary_working!K$1,FALSE)</f>
        <v>-368.23958135398902</v>
      </c>
      <c r="L26" s="84">
        <f>+VLOOKUP($A26,'net_benefits CV $m  '!$B$4:$O$30,Summary_working!L$1,FALSE)</f>
        <v>5458.4792883212795</v>
      </c>
      <c r="M26" s="84">
        <f>+VLOOKUP($A26,'net_benefits CV $m  '!$B$4:$O$30,Summary_working!M$1,FALSE)</f>
        <v>1884.5633872692599</v>
      </c>
    </row>
    <row r="27" spans="1:13" x14ac:dyDescent="0.2">
      <c r="A27" s="1" t="s">
        <v>205</v>
      </c>
      <c r="B27" s="84">
        <f>+VLOOKUP($A27,'net_benefits CV $m  '!$B$4:$O$30,Summary_working!B$1,FALSE)</f>
        <v>5353.0931774917799</v>
      </c>
      <c r="C27" s="84">
        <f>+VLOOKUP($A27,'net_benefits CV $m  '!$B$4:$O$30,Summary_working!C$1,FALSE)</f>
        <v>1494.58918892222</v>
      </c>
      <c r="D27" s="84">
        <f>+VLOOKUP($A27,'net_benefits CV $m  '!$B$4:$O$30,Summary_working!D$1,FALSE)</f>
        <v>344.15009154361201</v>
      </c>
      <c r="E27" s="84">
        <f>+VLOOKUP($A27,'net_benefits CV $m  '!$B$4:$O$30,Summary_working!E$1,FALSE)</f>
        <v>18729.431757168702</v>
      </c>
      <c r="F27" s="84">
        <f>+VLOOKUP($A27,'net_benefits CV $m  '!$B$4:$O$30,Summary_working!F$1,FALSE)</f>
        <v>18874.340847511099</v>
      </c>
      <c r="G27" s="84">
        <f>+VLOOKUP($A27,'net_benefits CV $m  '!$B$4:$O$30,Summary_working!G$1,FALSE)</f>
        <v>3492.8373862529202</v>
      </c>
      <c r="H27" s="84">
        <f>+VLOOKUP($A27,'net_benefits CV $m  '!$B$4:$O$30,Summary_working!H$1,FALSE)</f>
        <v>3347.9282975852998</v>
      </c>
      <c r="I27" s="84">
        <f>+VLOOKUP($A27,'net_benefits CV $m  '!$B$4:$O$30,Summary_working!I$1,FALSE)</f>
        <v>-149.67189242619801</v>
      </c>
      <c r="J27" s="84">
        <f>+VLOOKUP($A27,'net_benefits CV $m  '!$B$4:$O$30,Summary_working!J$1,FALSE)</f>
        <v>144.909090342399</v>
      </c>
      <c r="K27" s="84">
        <f>+VLOOKUP($A27,'net_benefits CV $m  '!$B$4:$O$30,Summary_working!K$1,FALSE)</f>
        <v>-144.909088667616</v>
      </c>
      <c r="L27" s="84">
        <f>+VLOOKUP($A27,'net_benefits CV $m  '!$B$4:$O$30,Summary_working!L$1,FALSE)</f>
        <v>5303.5240687167698</v>
      </c>
      <c r="M27" s="84">
        <f>+VLOOKUP($A27,'net_benefits CV $m  '!$B$4:$O$30,Summary_working!M$1,FALSE)</f>
        <v>1445.0200801472001</v>
      </c>
    </row>
    <row r="28" spans="1:13" x14ac:dyDescent="0.2">
      <c r="A28" s="1" t="s">
        <v>14</v>
      </c>
      <c r="B28" s="84">
        <f>+VLOOKUP($A28,'net_benefits CV $m  '!$B$4:$O$30,Summary_working!B$1,FALSE)</f>
        <v>5772.5428034720499</v>
      </c>
      <c r="C28" s="84">
        <f>+VLOOKUP($A28,'net_benefits CV $m  '!$B$4:$O$30,Summary_working!C$1,FALSE)</f>
        <v>1570.3022201145402</v>
      </c>
      <c r="D28" s="84">
        <f>+VLOOKUP($A28,'net_benefits CV $m  '!$B$4:$O$30,Summary_working!D$1,FALSE)</f>
        <v>351.69954653679901</v>
      </c>
      <c r="E28" s="84">
        <f>+VLOOKUP($A28,'net_benefits CV $m  '!$B$4:$O$30,Summary_working!E$1,FALSE)</f>
        <v>18865.344839741403</v>
      </c>
      <c r="F28" s="84">
        <f>+VLOOKUP($A28,'net_benefits CV $m  '!$B$4:$O$30,Summary_working!F$1,FALSE)</f>
        <v>19051.5127820415</v>
      </c>
      <c r="G28" s="84">
        <f>+VLOOKUP($A28,'net_benefits CV $m  '!$B$4:$O$30,Summary_working!G$1,FALSE)</f>
        <v>3492.8373862529202</v>
      </c>
      <c r="H28" s="84">
        <f>+VLOOKUP($A28,'net_benefits CV $m  '!$B$4:$O$30,Summary_working!H$1,FALSE)</f>
        <v>3279.6227420145401</v>
      </c>
      <c r="I28" s="84">
        <f>+VLOOKUP($A28,'net_benefits CV $m  '!$B$4:$O$30,Summary_working!I$1,FALSE)</f>
        <v>-168.47352437330898</v>
      </c>
      <c r="J28" s="84">
        <f>+VLOOKUP($A28,'net_benefits CV $m  '!$B$4:$O$30,Summary_working!J$1,FALSE)</f>
        <v>186.16794230009799</v>
      </c>
      <c r="K28" s="84">
        <f>+VLOOKUP($A28,'net_benefits CV $m  '!$B$4:$O$30,Summary_working!K$1,FALSE)</f>
        <v>-213.214644238376</v>
      </c>
      <c r="L28" s="84">
        <f>+VLOOKUP($A28,'net_benefits CV $m  '!$B$4:$O$30,Summary_working!L$1,FALSE)</f>
        <v>5775.4847236086598</v>
      </c>
      <c r="M28" s="84">
        <f>+VLOOKUP($A28,'net_benefits CV $m  '!$B$4:$O$30,Summary_working!M$1,FALSE)</f>
        <v>1573.2441402511499</v>
      </c>
    </row>
    <row r="29" spans="1:13" x14ac:dyDescent="0.2">
      <c r="A29" s="1" t="s">
        <v>12</v>
      </c>
      <c r="B29" s="84">
        <f>+VLOOKUP($A29,'net_benefits CV $m  '!$B$4:$O$30,Summary_working!B$1,FALSE)</f>
        <v>1376.6854813345201</v>
      </c>
      <c r="C29" s="84">
        <f>+VLOOKUP($A29,'net_benefits CV $m  '!$B$4:$O$30,Summary_working!C$1,FALSE)</f>
        <v>1376.8326152715199</v>
      </c>
      <c r="D29" s="84">
        <f>+VLOOKUP($A29,'net_benefits CV $m  '!$B$4:$O$30,Summary_working!D$1,FALSE)</f>
        <v>8.0042401789675193</v>
      </c>
      <c r="E29" s="84">
        <f>+VLOOKUP($A29,'net_benefits CV $m  '!$B$4:$O$30,Summary_working!E$1,FALSE)</f>
        <v>19312.306574190101</v>
      </c>
      <c r="F29" s="84">
        <f>+VLOOKUP($A29,'net_benefits CV $m  '!$B$4:$O$30,Summary_working!F$1,FALSE)</f>
        <v>19312.306574190101</v>
      </c>
      <c r="G29" s="84">
        <f>+VLOOKUP($A29,'net_benefits CV $m  '!$B$4:$O$30,Summary_working!G$1,FALSE)</f>
        <v>3716.0701421845597</v>
      </c>
      <c r="H29" s="84">
        <f>+VLOOKUP($A29,'net_benefits CV $m  '!$B$4:$O$30,Summary_working!H$1,FALSE)</f>
        <v>3716.0701421845597</v>
      </c>
      <c r="I29" s="84">
        <f>+VLOOKUP($A29,'net_benefits CV $m  '!$B$4:$O$30,Summary_working!I$1,FALSE)</f>
        <v>0</v>
      </c>
      <c r="J29" s="84">
        <f>+VLOOKUP($A29,'net_benefits CV $m  '!$B$4:$O$30,Summary_working!J$1,FALSE)</f>
        <v>0</v>
      </c>
      <c r="K29" s="84">
        <f>+VLOOKUP($A29,'net_benefits CV $m  '!$B$4:$O$30,Summary_working!K$1,FALSE)</f>
        <v>-1.43051147460937E-12</v>
      </c>
      <c r="L29" s="84">
        <f>+VLOOKUP($A29,'net_benefits CV $m  '!$B$4:$O$30,Summary_working!L$1,FALSE)</f>
        <v>1368.68124115555</v>
      </c>
      <c r="M29" s="84">
        <f>+VLOOKUP($A29,'net_benefits CV $m  '!$B$4:$O$30,Summary_working!M$1,FALSE)</f>
        <v>1368.82837509255</v>
      </c>
    </row>
    <row r="30" spans="1:13" x14ac:dyDescent="0.2">
      <c r="A30" s="1" t="s">
        <v>4</v>
      </c>
      <c r="B30" s="84">
        <f>+VLOOKUP($A30,'net_benefits CV $m  '!$B$4:$O$30,Summary_working!B$1,FALSE)</f>
        <v>4197.0982488070595</v>
      </c>
      <c r="C30" s="84">
        <f>+VLOOKUP($A30,'net_benefits CV $m  '!$B$4:$O$30,Summary_working!C$1,FALSE)</f>
        <v>1759.0961799594299</v>
      </c>
      <c r="D30" s="84">
        <f>+VLOOKUP($A30,'net_benefits CV $m  '!$B$4:$O$30,Summary_working!D$1,FALSE)</f>
        <v>341.91252746149598</v>
      </c>
      <c r="E30" s="84">
        <f>+VLOOKUP($A30,'net_benefits CV $m  '!$B$4:$O$30,Summary_working!E$1,FALSE)</f>
        <v>19312.306574190101</v>
      </c>
      <c r="F30" s="84">
        <f>+VLOOKUP($A30,'net_benefits CV $m  '!$B$4:$O$30,Summary_working!F$1,FALSE)</f>
        <v>19312.306574190101</v>
      </c>
      <c r="G30" s="84">
        <f>+VLOOKUP($A30,'net_benefits CV $m  '!$B$4:$O$30,Summary_working!G$1,FALSE)</f>
        <v>3716.0701421845497</v>
      </c>
      <c r="H30" s="84">
        <f>+VLOOKUP($A30,'net_benefits CV $m  '!$B$4:$O$30,Summary_working!H$1,FALSE)</f>
        <v>3716.0701421845497</v>
      </c>
      <c r="I30" s="84">
        <f>+VLOOKUP($A30,'net_benefits CV $m  '!$B$4:$O$30,Summary_working!I$1,FALSE)</f>
        <v>-222.436517734126</v>
      </c>
      <c r="J30" s="84">
        <f>+VLOOKUP($A30,'net_benefits CV $m  '!$B$4:$O$30,Summary_working!J$1,FALSE)</f>
        <v>-3.8146972656249998E-12</v>
      </c>
      <c r="K30" s="84">
        <f>+VLOOKUP($A30,'net_benefits CV $m  '!$B$4:$O$30,Summary_working!K$1,FALSE)</f>
        <v>0</v>
      </c>
      <c r="L30" s="84">
        <f>+VLOOKUP($A30,'net_benefits CV $m  '!$B$4:$O$30,Summary_working!L$1,FALSE)</f>
        <v>4077.6222390796902</v>
      </c>
      <c r="M30" s="84">
        <f>+VLOOKUP($A30,'net_benefits CV $m  '!$B$4:$O$30,Summary_working!M$1,FALSE)</f>
        <v>1639.62017023205</v>
      </c>
    </row>
    <row r="31" spans="1:13" x14ac:dyDescent="0.2">
      <c r="A31" s="1" t="s">
        <v>3</v>
      </c>
      <c r="B31" s="84">
        <f>+VLOOKUP($A31,'net_benefits CV $m  '!$B$4:$O$30,Summary_working!B$1,FALSE)</f>
        <v>4986.6977839142201</v>
      </c>
      <c r="C31" s="84">
        <f>+VLOOKUP($A31,'net_benefits CV $m  '!$B$4:$O$30,Summary_working!C$1,FALSE)</f>
        <v>1519.6314059188801</v>
      </c>
      <c r="D31" s="84">
        <f>+VLOOKUP($A31,'net_benefits CV $m  '!$B$4:$O$30,Summary_working!D$1,FALSE)</f>
        <v>422.16954425417697</v>
      </c>
      <c r="E31" s="84">
        <f>+VLOOKUP($A31,'net_benefits CV $m  '!$B$4:$O$30,Summary_working!E$1,FALSE)</f>
        <v>19312.306574190101</v>
      </c>
      <c r="F31" s="84">
        <f>+VLOOKUP($A31,'net_benefits CV $m  '!$B$4:$O$30,Summary_working!F$1,FALSE)</f>
        <v>19607.362560787202</v>
      </c>
      <c r="G31" s="84">
        <f>+VLOOKUP($A31,'net_benefits CV $m  '!$B$4:$O$30,Summary_working!G$1,FALSE)</f>
        <v>3716.0701421845497</v>
      </c>
      <c r="H31" s="84">
        <f>+VLOOKUP($A31,'net_benefits CV $m  '!$B$4:$O$30,Summary_working!H$1,FALSE)</f>
        <v>3421.0141569935399</v>
      </c>
      <c r="I31" s="84">
        <f>+VLOOKUP($A31,'net_benefits CV $m  '!$B$4:$O$30,Summary_working!I$1,FALSE)</f>
        <v>-201.53480651679999</v>
      </c>
      <c r="J31" s="84">
        <f>+VLOOKUP($A31,'net_benefits CV $m  '!$B$4:$O$30,Summary_working!J$1,FALSE)</f>
        <v>295.055986597095</v>
      </c>
      <c r="K31" s="84">
        <f>+VLOOKUP($A31,'net_benefits CV $m  '!$B$4:$O$30,Summary_working!K$1,FALSE)</f>
        <v>-295.055985191015</v>
      </c>
      <c r="L31" s="84">
        <f>+VLOOKUP($A31,'net_benefits CV $m  '!$B$4:$O$30,Summary_working!L$1,FALSE)</f>
        <v>5061.1190327739405</v>
      </c>
      <c r="M31" s="84">
        <f>+VLOOKUP($A31,'net_benefits CV $m  '!$B$4:$O$30,Summary_working!M$1,FALSE)</f>
        <v>1594.0526547786001</v>
      </c>
    </row>
    <row r="32" spans="1:13" x14ac:dyDescent="0.2">
      <c r="A32" s="1" t="s">
        <v>13</v>
      </c>
      <c r="B32" s="84">
        <f>+VLOOKUP($A32,'net_benefits CV $m  '!$B$4:$O$30,Summary_working!B$1,FALSE)</f>
        <v>5002.9820877833999</v>
      </c>
      <c r="C32" s="84">
        <f>+VLOOKUP($A32,'net_benefits CV $m  '!$B$4:$O$30,Summary_working!C$1,FALSE)</f>
        <v>1432.92579055903</v>
      </c>
      <c r="D32" s="84">
        <f>+VLOOKUP($A32,'net_benefits CV $m  '!$B$4:$O$30,Summary_working!D$1,FALSE)</f>
        <v>412.40411367656998</v>
      </c>
      <c r="E32" s="84">
        <f>+VLOOKUP($A32,'net_benefits CV $m  '!$B$4:$O$30,Summary_working!E$1,FALSE)</f>
        <v>19312.306574190101</v>
      </c>
      <c r="F32" s="84">
        <f>+VLOOKUP($A32,'net_benefits CV $m  '!$B$4:$O$30,Summary_working!F$1,FALSE)</f>
        <v>20245.9043845173</v>
      </c>
      <c r="G32" s="84">
        <f>+VLOOKUP($A32,'net_benefits CV $m  '!$B$4:$O$30,Summary_working!G$1,FALSE)</f>
        <v>3716.0701421845497</v>
      </c>
      <c r="H32" s="84">
        <f>+VLOOKUP($A32,'net_benefits CV $m  '!$B$4:$O$30,Summary_working!H$1,FALSE)</f>
        <v>2782.4723319359196</v>
      </c>
      <c r="I32" s="84">
        <f>+VLOOKUP($A32,'net_benefits CV $m  '!$B$4:$O$30,Summary_working!I$1,FALSE)</f>
        <v>-201.56641030684702</v>
      </c>
      <c r="J32" s="84">
        <f>+VLOOKUP($A32,'net_benefits CV $m  '!$B$4:$O$30,Summary_working!J$1,FALSE)</f>
        <v>933.59781032717501</v>
      </c>
      <c r="K32" s="84">
        <f>+VLOOKUP($A32,'net_benefits CV $m  '!$B$4:$O$30,Summary_working!K$1,FALSE)</f>
        <v>-933.59781024863298</v>
      </c>
      <c r="L32" s="84">
        <f>+VLOOKUP($A32,'net_benefits CV $m  '!$B$4:$O$30,Summary_working!L$1,FALSE)</f>
        <v>5725.7421947408602</v>
      </c>
      <c r="M32" s="84">
        <f>+VLOOKUP($A32,'net_benefits CV $m  '!$B$4:$O$30,Summary_working!M$1,FALSE)</f>
        <v>2155.6858975164801</v>
      </c>
    </row>
    <row r="33" spans="1:13" x14ac:dyDescent="0.2">
      <c r="A33" s="1" t="s">
        <v>11</v>
      </c>
      <c r="B33" s="84">
        <f>+VLOOKUP($A33,'net_benefits CV $m  '!$B$4:$O$30,Summary_working!B$1,FALSE)</f>
        <v>891.02987683159699</v>
      </c>
      <c r="C33" s="84">
        <f>+VLOOKUP($A33,'net_benefits CV $m  '!$B$4:$O$30,Summary_working!C$1,FALSE)</f>
        <v>894.56608201061795</v>
      </c>
      <c r="D33" s="84">
        <f>+VLOOKUP($A33,'net_benefits CV $m  '!$B$4:$O$30,Summary_working!D$1,FALSE)</f>
        <v>54.260169575154301</v>
      </c>
      <c r="E33" s="84">
        <f>+VLOOKUP($A33,'net_benefits CV $m  '!$B$4:$O$30,Summary_working!E$1,FALSE)</f>
        <v>18729.431757168702</v>
      </c>
      <c r="F33" s="84">
        <f>+VLOOKUP($A33,'net_benefits CV $m  '!$B$4:$O$30,Summary_working!F$1,FALSE)</f>
        <v>19530.756014136299</v>
      </c>
      <c r="G33" s="84">
        <f>+VLOOKUP($A33,'net_benefits CV $m  '!$B$4:$O$30,Summary_working!G$1,FALSE)</f>
        <v>3492.8373862529202</v>
      </c>
      <c r="H33" s="84">
        <f>+VLOOKUP($A33,'net_benefits CV $m  '!$B$4:$O$30,Summary_working!H$1,FALSE)</f>
        <v>2691.5131293309596</v>
      </c>
      <c r="I33" s="84">
        <f>+VLOOKUP($A33,'net_benefits CV $m  '!$B$4:$O$30,Summary_working!I$1,FALSE)</f>
        <v>0</v>
      </c>
      <c r="J33" s="84">
        <f>+VLOOKUP($A33,'net_benefits CV $m  '!$B$4:$O$30,Summary_working!J$1,FALSE)</f>
        <v>801.32425696758196</v>
      </c>
      <c r="K33" s="84">
        <f>+VLOOKUP($A33,'net_benefits CV $m  '!$B$4:$O$30,Summary_working!K$1,FALSE)</f>
        <v>-801.32425692195795</v>
      </c>
      <c r="L33" s="84">
        <f>+VLOOKUP($A33,'net_benefits CV $m  '!$B$4:$O$30,Summary_working!L$1,FALSE)</f>
        <v>1638.0939642240201</v>
      </c>
      <c r="M33" s="84">
        <f>+VLOOKUP($A33,'net_benefits CV $m  '!$B$4:$O$30,Summary_working!M$1,FALSE)</f>
        <v>1641.6301694030399</v>
      </c>
    </row>
    <row r="34" spans="1:13" x14ac:dyDescent="0.2">
      <c r="A34" s="1" t="s">
        <v>1</v>
      </c>
      <c r="B34" s="84">
        <f>+VLOOKUP($A34,'net_benefits CV $m  '!$B$4:$O$30,Summary_working!B$1,FALSE)</f>
        <v>5219.3080697672704</v>
      </c>
      <c r="C34" s="84">
        <f>+VLOOKUP($A34,'net_benefits CV $m  '!$B$4:$O$30,Summary_working!C$1,FALSE)</f>
        <v>1652.3700916118501</v>
      </c>
      <c r="D34" s="84">
        <f>+VLOOKUP($A34,'net_benefits CV $m  '!$B$4:$O$30,Summary_working!D$1,FALSE)</f>
        <v>419.15352230181497</v>
      </c>
      <c r="E34" s="84">
        <f>+VLOOKUP($A34,'net_benefits CV $m  '!$B$4:$O$30,Summary_working!E$1,FALSE)</f>
        <v>19312.306574190101</v>
      </c>
      <c r="F34" s="84">
        <f>+VLOOKUP($A34,'net_benefits CV $m  '!$B$4:$O$30,Summary_working!F$1,FALSE)</f>
        <v>19774.096017263098</v>
      </c>
      <c r="G34" s="84">
        <f>+VLOOKUP($A34,'net_benefits CV $m  '!$B$4:$O$30,Summary_working!G$1,FALSE)</f>
        <v>3716.0701421845497</v>
      </c>
      <c r="H34" s="84">
        <f>+VLOOKUP($A34,'net_benefits CV $m  '!$B$4:$O$30,Summary_working!H$1,FALSE)</f>
        <v>3254.2807006408702</v>
      </c>
      <c r="I34" s="84">
        <f>+VLOOKUP($A34,'net_benefits CV $m  '!$B$4:$O$30,Summary_working!I$1,FALSE)</f>
        <v>-201.52517896169098</v>
      </c>
      <c r="J34" s="84">
        <f>+VLOOKUP($A34,'net_benefits CV $m  '!$B$4:$O$30,Summary_working!J$1,FALSE)</f>
        <v>461.789443072994</v>
      </c>
      <c r="K34" s="84">
        <f>+VLOOKUP($A34,'net_benefits CV $m  '!$B$4:$O$30,Summary_working!K$1,FALSE)</f>
        <v>-461.78944154368105</v>
      </c>
      <c r="L34" s="84">
        <f>+VLOOKUP($A34,'net_benefits CV $m  '!$B$4:$O$30,Summary_working!L$1,FALSE)</f>
        <v>5463.4691695001402</v>
      </c>
      <c r="M34" s="84">
        <f>+VLOOKUP($A34,'net_benefits CV $m  '!$B$4:$O$30,Summary_working!M$1,FALSE)</f>
        <v>1896.5311913447199</v>
      </c>
    </row>
    <row r="35" spans="1:13" x14ac:dyDescent="0.2">
      <c r="A35" s="1" t="s">
        <v>5</v>
      </c>
      <c r="B35" s="84">
        <f>+VLOOKUP($A35,'net_benefits CV $m  '!$B$4:$O$30,Summary_working!B$1,FALSE)</f>
        <v>6302.2318881752399</v>
      </c>
      <c r="C35" s="84">
        <f>+VLOOKUP($A35,'net_benefits CV $m  '!$B$4:$O$30,Summary_working!C$1,FALSE)</f>
        <v>2232.6185013342201</v>
      </c>
      <c r="D35" s="84">
        <f>+VLOOKUP($A35,'net_benefits CV $m  '!$B$4:$O$30,Summary_working!D$1,FALSE)</f>
        <v>446.81142398275796</v>
      </c>
      <c r="E35" s="84">
        <f>+VLOOKUP($A35,'net_benefits CV $m  '!$B$4:$O$30,Summary_working!E$1,FALSE)</f>
        <v>19312.306574190101</v>
      </c>
      <c r="F35" s="84">
        <f>+VLOOKUP($A35,'net_benefits CV $m  '!$B$4:$O$30,Summary_working!F$1,FALSE)</f>
        <v>19047.143635728098</v>
      </c>
      <c r="G35" s="84">
        <f>+VLOOKUP($A35,'net_benefits CV $m  '!$B$4:$O$30,Summary_working!G$1,FALSE)</f>
        <v>3716.0701421845497</v>
      </c>
      <c r="H35" s="84">
        <f>+VLOOKUP($A35,'net_benefits CV $m  '!$B$4:$O$30,Summary_working!H$1,FALSE)</f>
        <v>3981.2330821758801</v>
      </c>
      <c r="I35" s="84">
        <f>+VLOOKUP($A35,'net_benefits CV $m  '!$B$4:$O$30,Summary_working!I$1,FALSE)</f>
        <v>-200.56951218087599</v>
      </c>
      <c r="J35" s="84">
        <f>+VLOOKUP($A35,'net_benefits CV $m  '!$B$4:$O$30,Summary_working!J$1,FALSE)</f>
        <v>-265.16293846200904</v>
      </c>
      <c r="K35" s="84">
        <f>+VLOOKUP($A35,'net_benefits CV $m  '!$B$4:$O$30,Summary_working!K$1,FALSE)</f>
        <v>265.16293999132102</v>
      </c>
      <c r="L35" s="84">
        <f>+VLOOKUP($A35,'net_benefits CV $m  '!$B$4:$O$30,Summary_working!L$1,FALSE)</f>
        <v>5790.8270379113501</v>
      </c>
      <c r="M35" s="84">
        <f>+VLOOKUP($A35,'net_benefits CV $m  '!$B$4:$O$30,Summary_working!M$1,FALSE)</f>
        <v>1721.2136510703299</v>
      </c>
    </row>
    <row r="36" spans="1:13" x14ac:dyDescent="0.2">
      <c r="A36" s="3" t="s">
        <v>6</v>
      </c>
      <c r="B36" s="21">
        <f>+VLOOKUP($A36,'net_benefits CV $m  '!$B$4:$O$30,Summary_working!B$1,FALSE)</f>
        <v>3493.75459125306</v>
      </c>
      <c r="C36" s="21">
        <f>+VLOOKUP($A36,'net_benefits CV $m  '!$B$4:$O$30,Summary_working!C$1,FALSE)</f>
        <v>2051.67424504685</v>
      </c>
      <c r="D36" s="21">
        <f>+VLOOKUP($A36,'net_benefits CV $m  '!$B$4:$O$30,Summary_working!D$1,FALSE)</f>
        <v>90.921778239960403</v>
      </c>
      <c r="E36" s="21">
        <f>+VLOOKUP($A36,'net_benefits CV $m  '!$B$4:$O$30,Summary_working!E$1,FALSE)</f>
        <v>19312.306574190101</v>
      </c>
      <c r="F36" s="21">
        <f>+VLOOKUP($A36,'net_benefits CV $m  '!$B$4:$O$30,Summary_working!F$1,FALSE)</f>
        <v>19683.706291797</v>
      </c>
      <c r="G36" s="21">
        <f>+VLOOKUP($A36,'net_benefits CV $m  '!$B$4:$O$30,Summary_working!G$1,FALSE)</f>
        <v>3716.0701421845497</v>
      </c>
      <c r="H36" s="21">
        <f>+VLOOKUP($A36,'net_benefits CV $m  '!$B$4:$O$30,Summary_working!H$1,FALSE)</f>
        <v>3344.6704261069999</v>
      </c>
      <c r="I36" s="21">
        <f>+VLOOKUP($A36,'net_benefits CV $m  '!$B$4:$O$30,Summary_working!I$1,FALSE)</f>
        <v>-215.54167005259799</v>
      </c>
      <c r="J36" s="21">
        <f>+VLOOKUP($A36,'net_benefits CV $m  '!$B$4:$O$30,Summary_working!J$1,FALSE)</f>
        <v>371.399717606857</v>
      </c>
      <c r="K36" s="21">
        <f>+VLOOKUP($A36,'net_benefits CV $m  '!$B$4:$O$30,Summary_working!K$1,FALSE)</f>
        <v>-371.39971607755103</v>
      </c>
      <c r="L36" s="21">
        <f>+VLOOKUP($A36,'net_benefits CV $m  '!$B$4:$O$30,Summary_working!L$1,FALSE)</f>
        <v>3989.7742006725603</v>
      </c>
      <c r="M36" s="21">
        <f>+VLOOKUP($A36,'net_benefits CV $m  '!$B$4:$O$30,Summary_working!M$1,FALSE)</f>
        <v>2547.6938544663399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workbookViewId="0">
      <pane xSplit="2" ySplit="4" topLeftCell="C5" activePane="bottomRight" state="frozen"/>
      <selection pane="topRight" activeCell="C1" sqref="C1"/>
      <selection pane="bottomLeft" activeCell="A2" sqref="A2"/>
      <selection pane="bottomRight"/>
    </sheetView>
  </sheetViews>
  <sheetFormatPr defaultColWidth="9.140625" defaultRowHeight="12" x14ac:dyDescent="0.2"/>
  <cols>
    <col min="1" max="1" width="9.140625" style="1"/>
    <col min="2" max="2" width="31.140625" style="1" customWidth="1"/>
    <col min="3" max="15" width="16.5703125" style="1" customWidth="1"/>
    <col min="16" max="16384" width="9.140625" style="1"/>
  </cols>
  <sheetData>
    <row r="1" spans="2:15" x14ac:dyDescent="0.2">
      <c r="B1" s="6" t="s">
        <v>169</v>
      </c>
    </row>
    <row r="4" spans="2:15" ht="72" x14ac:dyDescent="0.2">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5" x14ac:dyDescent="0.2">
      <c r="B5" s="1" t="s">
        <v>205</v>
      </c>
      <c r="C5" s="25">
        <f>+net_benefits_all!C20/1000000</f>
        <v>4575.10988689444</v>
      </c>
      <c r="D5" s="25">
        <f>+net_benefits_all!D20/1000000</f>
        <v>135.87286026874901</v>
      </c>
      <c r="E5" s="25">
        <f>+net_benefits_all!E20/1000000</f>
        <v>344.15009154361201</v>
      </c>
      <c r="F5" s="25">
        <f>+net_benefits_all!F20/1000000</f>
        <v>18729.431757168702</v>
      </c>
      <c r="G5" s="25">
        <f>+net_benefits_all!G20/1000000</f>
        <v>18874.340847511099</v>
      </c>
      <c r="H5" s="25">
        <f>+net_benefits_all!H20/1000000</f>
        <v>3492.8373862529202</v>
      </c>
      <c r="I5" s="25">
        <f>+net_benefits_all!I20/1000000</f>
        <v>3347.9282975852998</v>
      </c>
      <c r="J5" s="25">
        <f>+net_benefits_all!J20/1000000</f>
        <v>-149.67189242619801</v>
      </c>
      <c r="K5" s="25">
        <f>+net_benefits_all!K20/1000000</f>
        <v>144.909090342399</v>
      </c>
      <c r="L5" s="25">
        <f>+net_benefits_all!L20/1000000</f>
        <v>-144.909088667616</v>
      </c>
      <c r="M5" s="25">
        <f>+net_benefits_all!M20/1000000</f>
        <v>4525.5407781194199</v>
      </c>
      <c r="N5" s="25">
        <f>+net_benefits_all!N20/1000000</f>
        <v>86.303751493734893</v>
      </c>
      <c r="O5" s="1" t="s">
        <v>15</v>
      </c>
    </row>
    <row r="6" spans="2:15" x14ac:dyDescent="0.2">
      <c r="B6" s="1" t="s">
        <v>1</v>
      </c>
      <c r="C6" s="25">
        <f>+net_benefits_all!C21/1000000</f>
        <v>4276.5182806829698</v>
      </c>
      <c r="D6" s="25">
        <f>+net_benefits_all!D21/1000000</f>
        <v>-42.671190802165299</v>
      </c>
      <c r="E6" s="25">
        <f>+net_benefits_all!E21/1000000</f>
        <v>419.15352230181497</v>
      </c>
      <c r="F6" s="25">
        <f>+net_benefits_all!F21/1000000</f>
        <v>19312.306574190101</v>
      </c>
      <c r="G6" s="25">
        <f>+net_benefits_all!G21/1000000</f>
        <v>19774.096017263098</v>
      </c>
      <c r="H6" s="25">
        <f>+net_benefits_all!H21/1000000</f>
        <v>3716.0701421845497</v>
      </c>
      <c r="I6" s="25">
        <f>+net_benefits_all!I21/1000000</f>
        <v>3254.2807006408702</v>
      </c>
      <c r="J6" s="25">
        <f>+net_benefits_all!J21/1000000</f>
        <v>-201.52517896169098</v>
      </c>
      <c r="K6" s="25">
        <f>+net_benefits_all!K21/1000000</f>
        <v>461.789443072994</v>
      </c>
      <c r="L6" s="25">
        <f>+net_benefits_all!L21/1000000</f>
        <v>-461.78944154368105</v>
      </c>
      <c r="M6" s="25">
        <f>+net_benefits_all!M21/1000000</f>
        <v>4520.6793804158406</v>
      </c>
      <c r="N6" s="25">
        <f>+net_benefits_all!N21/1000000</f>
        <v>201.48990893070399</v>
      </c>
      <c r="O6" s="1" t="s">
        <v>15</v>
      </c>
    </row>
    <row r="7" spans="2:15" x14ac:dyDescent="0.2">
      <c r="B7" s="1" t="s">
        <v>2</v>
      </c>
      <c r="C7" s="25">
        <f>+net_benefits_all!C22/1000000</f>
        <v>4370.2516145323098</v>
      </c>
      <c r="D7" s="25">
        <f>+net_benefits_all!D22/1000000</f>
        <v>50.787566160272206</v>
      </c>
      <c r="E7" s="25">
        <f>+net_benefits_all!E22/1000000</f>
        <v>420.69589603789802</v>
      </c>
      <c r="F7" s="25">
        <f>+net_benefits_all!F22/1000000</f>
        <v>19312.306574190101</v>
      </c>
      <c r="G7" s="25">
        <f>+net_benefits_all!G22/1000000</f>
        <v>19680.546157073397</v>
      </c>
      <c r="H7" s="25">
        <f>+net_benefits_all!H22/1000000</f>
        <v>3716.0701421845497</v>
      </c>
      <c r="I7" s="25">
        <f>+net_benefits_all!I22/1000000</f>
        <v>3347.83056083056</v>
      </c>
      <c r="J7" s="25">
        <f>+net_benefits_all!J22/1000000</f>
        <v>-201.52188836770497</v>
      </c>
      <c r="K7" s="25">
        <f>+net_benefits_all!K22/1000000</f>
        <v>368.239582883293</v>
      </c>
      <c r="L7" s="25">
        <f>+net_benefits_all!L22/1000000</f>
        <v>-368.23958135398902</v>
      </c>
      <c r="M7" s="25">
        <f>+net_benefits_all!M22/1000000</f>
        <v>4519.3171897454104</v>
      </c>
      <c r="N7" s="25">
        <f>+net_benefits_all!N22/1000000</f>
        <v>199.85314137337301</v>
      </c>
      <c r="O7" s="1" t="s">
        <v>15</v>
      </c>
    </row>
    <row r="8" spans="2:15" x14ac:dyDescent="0.2">
      <c r="B8" s="1" t="s">
        <v>3</v>
      </c>
      <c r="C8" s="25">
        <f>+net_benefits_all!C23/1000000</f>
        <v>4531.8319888692995</v>
      </c>
      <c r="D8" s="25">
        <f>+net_benefits_all!D23/1000000</f>
        <v>116.30920143552899</v>
      </c>
      <c r="E8" s="25">
        <f>+net_benefits_all!E23/1000000</f>
        <v>422.16954425417697</v>
      </c>
      <c r="F8" s="25">
        <f>+net_benefits_all!F23/1000000</f>
        <v>19312.306574190101</v>
      </c>
      <c r="G8" s="25">
        <f>+net_benefits_all!G23/1000000</f>
        <v>19607.362560787202</v>
      </c>
      <c r="H8" s="25">
        <f>+net_benefits_all!H23/1000000</f>
        <v>3716.0701421845497</v>
      </c>
      <c r="I8" s="25">
        <f>+net_benefits_all!I23/1000000</f>
        <v>3421.0141569935399</v>
      </c>
      <c r="J8" s="25">
        <f>+net_benefits_all!J23/1000000</f>
        <v>-201.53480651679999</v>
      </c>
      <c r="K8" s="25">
        <f>+net_benefits_all!K23/1000000</f>
        <v>295.055986597095</v>
      </c>
      <c r="L8" s="25">
        <f>+net_benefits_all!L23/1000000</f>
        <v>-295.055985191015</v>
      </c>
      <c r="M8" s="25">
        <f>+net_benefits_all!M23/1000000</f>
        <v>4606.2532377290199</v>
      </c>
      <c r="N8" s="25">
        <f>+net_benefits_all!N23/1000000</f>
        <v>190.73045029524698</v>
      </c>
      <c r="O8" s="1" t="s">
        <v>15</v>
      </c>
    </row>
    <row r="9" spans="2:15" x14ac:dyDescent="0.2">
      <c r="B9" s="1" t="s">
        <v>4</v>
      </c>
      <c r="C9" s="25">
        <f>+net_benefits_all!C24/1000000</f>
        <v>3229.0703852378201</v>
      </c>
      <c r="D9" s="25">
        <f>+net_benefits_all!D24/1000000</f>
        <v>320.56979173175699</v>
      </c>
      <c r="E9" s="25">
        <f>+net_benefits_all!E24/1000000</f>
        <v>341.91252746149598</v>
      </c>
      <c r="F9" s="25">
        <f>+net_benefits_all!F24/1000000</f>
        <v>19312.306574190101</v>
      </c>
      <c r="G9" s="25">
        <f>+net_benefits_all!G24/1000000</f>
        <v>19312.306574190101</v>
      </c>
      <c r="H9" s="25">
        <f>+net_benefits_all!H24/1000000</f>
        <v>3716.0701421845497</v>
      </c>
      <c r="I9" s="25">
        <f>+net_benefits_all!I24/1000000</f>
        <v>3716.0701421845497</v>
      </c>
      <c r="J9" s="25">
        <f>+net_benefits_all!J24/1000000</f>
        <v>-222.436517734126</v>
      </c>
      <c r="K9" s="25">
        <f>+net_benefits_all!K24/1000000</f>
        <v>-3.8146972656249998E-12</v>
      </c>
      <c r="L9" s="25">
        <f>+net_benefits_all!L24/1000000</f>
        <v>0</v>
      </c>
      <c r="M9" s="25">
        <f>+net_benefits_all!M24/1000000</f>
        <v>3109.5943755104499</v>
      </c>
      <c r="N9" s="25">
        <f>+net_benefits_all!N24/1000000</f>
        <v>201.093782004383</v>
      </c>
      <c r="O9" s="1" t="s">
        <v>15</v>
      </c>
    </row>
    <row r="10" spans="2:15" x14ac:dyDescent="0.2">
      <c r="B10" s="1" t="s">
        <v>5</v>
      </c>
      <c r="C10" s="25">
        <f>+net_benefits_all!C25/1000000</f>
        <v>5531.4498985167802</v>
      </c>
      <c r="D10" s="25">
        <f>+net_benefits_all!D25/1000000</f>
        <v>707.55759934013611</v>
      </c>
      <c r="E10" s="25">
        <f>+net_benefits_all!E25/1000000</f>
        <v>446.81142398275796</v>
      </c>
      <c r="F10" s="25">
        <f>+net_benefits_all!F25/1000000</f>
        <v>19312.306574190101</v>
      </c>
      <c r="G10" s="25">
        <f>+net_benefits_all!G25/1000000</f>
        <v>19047.143635728098</v>
      </c>
      <c r="H10" s="25">
        <f>+net_benefits_all!H25/1000000</f>
        <v>3716.0701421845497</v>
      </c>
      <c r="I10" s="25">
        <f>+net_benefits_all!I25/1000000</f>
        <v>3981.2330821758801</v>
      </c>
      <c r="J10" s="25">
        <f>+net_benefits_all!J25/1000000</f>
        <v>-200.56951218087599</v>
      </c>
      <c r="K10" s="25">
        <f>+net_benefits_all!K25/1000000</f>
        <v>-265.16293846200904</v>
      </c>
      <c r="L10" s="25">
        <f>+net_benefits_all!L25/1000000</f>
        <v>265.16293999132102</v>
      </c>
      <c r="M10" s="25">
        <f>+net_benefits_all!M25/1000000</f>
        <v>5020.0450482528895</v>
      </c>
      <c r="N10" s="25">
        <f>+net_benefits_all!N25/1000000</f>
        <v>196.15274907624502</v>
      </c>
      <c r="O10" s="1" t="s">
        <v>15</v>
      </c>
    </row>
    <row r="11" spans="2:15" x14ac:dyDescent="0.2">
      <c r="B11" s="1" t="s">
        <v>6</v>
      </c>
      <c r="C11" s="25">
        <f>+net_benefits_all!C26/1000000</f>
        <v>2216.7178800449601</v>
      </c>
      <c r="D11" s="25">
        <f>+net_benefits_all!D26/1000000</f>
        <v>82.957513079116708</v>
      </c>
      <c r="E11" s="25">
        <f>+net_benefits_all!E26/1000000</f>
        <v>90.921778239960403</v>
      </c>
      <c r="F11" s="25">
        <f>+net_benefits_all!F26/1000000</f>
        <v>19312.306574190101</v>
      </c>
      <c r="G11" s="25">
        <f>+net_benefits_all!G26/1000000</f>
        <v>19683.706291797</v>
      </c>
      <c r="H11" s="25">
        <f>+net_benefits_all!H26/1000000</f>
        <v>3716.0701421845497</v>
      </c>
      <c r="I11" s="25">
        <f>+net_benefits_all!I26/1000000</f>
        <v>3344.6704261069999</v>
      </c>
      <c r="J11" s="25">
        <f>+net_benefits_all!J26/1000000</f>
        <v>-215.54167005259799</v>
      </c>
      <c r="K11" s="25">
        <f>+net_benefits_all!K26/1000000</f>
        <v>371.399717606857</v>
      </c>
      <c r="L11" s="25">
        <f>+net_benefits_all!L26/1000000</f>
        <v>-371.39971607755103</v>
      </c>
      <c r="M11" s="25">
        <f>+net_benefits_all!M26/1000000</f>
        <v>2712.7374894644599</v>
      </c>
      <c r="N11" s="25">
        <f>+net_benefits_all!N26/1000000</f>
        <v>578.97712249861206</v>
      </c>
      <c r="O11" s="1" t="s">
        <v>15</v>
      </c>
    </row>
    <row r="12" spans="2:15" x14ac:dyDescent="0.2">
      <c r="B12" s="1" t="s">
        <v>7</v>
      </c>
      <c r="C12" s="25">
        <f>+net_benefits_all!C27/1000000</f>
        <v>-198.535834479301</v>
      </c>
      <c r="D12" s="25">
        <f>+net_benefits_all!D27/1000000</f>
        <v>-200.53537002986198</v>
      </c>
      <c r="E12" s="25">
        <f>+net_benefits_all!E27/1000000</f>
        <v>56.5447051251586</v>
      </c>
      <c r="F12" s="25">
        <f>+net_benefits_all!F27/1000000</f>
        <v>18729.431757168702</v>
      </c>
      <c r="G12" s="25">
        <f>+net_benefits_all!G27/1000000</f>
        <v>18964.322227948003</v>
      </c>
      <c r="H12" s="25">
        <f>+net_benefits_all!H27/1000000</f>
        <v>3492.8373862529202</v>
      </c>
      <c r="I12" s="25">
        <f>+net_benefits_all!I27/1000000</f>
        <v>3257.9469169700196</v>
      </c>
      <c r="J12" s="25">
        <f>+net_benefits_all!J27/1000000</f>
        <v>0</v>
      </c>
      <c r="K12" s="25">
        <f>+net_benefits_all!K27/1000000</f>
        <v>234.890470779304</v>
      </c>
      <c r="L12" s="25">
        <f>+net_benefits_all!L27/1000000</f>
        <v>-234.8904692829</v>
      </c>
      <c r="M12" s="25">
        <f>+net_benefits_all!M27/1000000</f>
        <v>-20.190068825155898</v>
      </c>
      <c r="N12" s="25">
        <f>+net_benefits_all!N27/1000000</f>
        <v>-22.189604375716499</v>
      </c>
      <c r="O12" s="1" t="s">
        <v>15</v>
      </c>
    </row>
    <row r="13" spans="2:15" x14ac:dyDescent="0.2">
      <c r="B13" s="1" t="s">
        <v>8</v>
      </c>
      <c r="C13" s="25">
        <f>+net_benefits_all!C28/1000000</f>
        <v>19.203879748406802</v>
      </c>
      <c r="D13" s="25">
        <f>+net_benefits_all!D28/1000000</f>
        <v>23.711879025813801</v>
      </c>
      <c r="E13" s="25">
        <f>+net_benefits_all!E28/1000000</f>
        <v>341.63522645485301</v>
      </c>
      <c r="F13" s="25">
        <f>+net_benefits_all!F28/1000000</f>
        <v>18729.431757168702</v>
      </c>
      <c r="G13" s="25">
        <f>+net_benefits_all!G28/1000000</f>
        <v>18964.322227948003</v>
      </c>
      <c r="H13" s="25">
        <f>+net_benefits_all!H28/1000000</f>
        <v>3492.8373862529202</v>
      </c>
      <c r="I13" s="25">
        <f>+net_benefits_all!I28/1000000</f>
        <v>3257.9469169700196</v>
      </c>
      <c r="J13" s="25">
        <f>+net_benefits_all!J28/1000000</f>
        <v>-200.54117376756099</v>
      </c>
      <c r="K13" s="25">
        <f>+net_benefits_all!K28/1000000</f>
        <v>234.890470779308</v>
      </c>
      <c r="L13" s="25">
        <f>+net_benefits_all!L28/1000000</f>
        <v>-234.8904692829</v>
      </c>
      <c r="M13" s="25">
        <f>+net_benefits_all!M28/1000000</f>
        <v>113.000297840423</v>
      </c>
      <c r="N13" s="25">
        <f>+net_benefits_all!N28/1000000</f>
        <v>117.50829711783</v>
      </c>
      <c r="O13" s="1" t="s">
        <v>15</v>
      </c>
    </row>
    <row r="14" spans="2:15" x14ac:dyDescent="0.2">
      <c r="B14" s="1" t="s">
        <v>9</v>
      </c>
      <c r="C14" s="25">
        <f>+net_benefits_all!C29/1000000</f>
        <v>1190.7928160415202</v>
      </c>
      <c r="D14" s="25">
        <f>+net_benefits_all!D29/1000000</f>
        <v>-126.529691485009</v>
      </c>
      <c r="E14" s="25">
        <f>+net_benefits_all!E29/1000000</f>
        <v>117.906910566329</v>
      </c>
      <c r="F14" s="25">
        <f>+net_benefits_all!F29/1000000</f>
        <v>18729.431757168702</v>
      </c>
      <c r="G14" s="25">
        <f>+net_benefits_all!G29/1000000</f>
        <v>18944.379074649798</v>
      </c>
      <c r="H14" s="25">
        <f>+net_benefits_all!H29/1000000</f>
        <v>3492.8373862529202</v>
      </c>
      <c r="I14" s="25">
        <f>+net_benefits_all!I29/1000000</f>
        <v>3277.8900702682199</v>
      </c>
      <c r="J14" s="25">
        <f>+net_benefits_all!J29/1000000</f>
        <v>0</v>
      </c>
      <c r="K14" s="25">
        <f>+net_benefits_all!K29/1000000</f>
        <v>214.947317481098</v>
      </c>
      <c r="L14" s="25">
        <f>+net_benefits_all!L29/1000000</f>
        <v>-214.94731598469201</v>
      </c>
      <c r="M14" s="25">
        <f>+net_benefits_all!M29/1000000</f>
        <v>1287.83322295629</v>
      </c>
      <c r="N14" s="25">
        <f>+net_benefits_all!N29/1000000</f>
        <v>-29.4892845702405</v>
      </c>
      <c r="O14" s="1" t="s">
        <v>15</v>
      </c>
    </row>
    <row r="15" spans="2:15" x14ac:dyDescent="0.2">
      <c r="B15" s="1" t="s">
        <v>10</v>
      </c>
      <c r="C15" s="25">
        <f>+net_benefits_all!C30/1000000</f>
        <v>-312.11058885889099</v>
      </c>
      <c r="D15" s="25">
        <f>+net_benefits_all!D30/1000000</f>
        <v>-316.24598159732</v>
      </c>
      <c r="E15" s="25">
        <f>+net_benefits_all!E30/1000000</f>
        <v>66.702996369459498</v>
      </c>
      <c r="F15" s="25">
        <f>+net_benefits_all!F30/1000000</f>
        <v>19312.306574190101</v>
      </c>
      <c r="G15" s="25">
        <f>+net_benefits_all!G30/1000000</f>
        <v>19709.565977557799</v>
      </c>
      <c r="H15" s="25">
        <f>+net_benefits_all!H30/1000000</f>
        <v>3716.0701421845597</v>
      </c>
      <c r="I15" s="25">
        <f>+net_benefits_all!I30/1000000</f>
        <v>3318.81074034622</v>
      </c>
      <c r="J15" s="25">
        <f>+net_benefits_all!J30/1000000</f>
        <v>0</v>
      </c>
      <c r="K15" s="25">
        <f>+net_benefits_all!K30/1000000</f>
        <v>397.25940336764097</v>
      </c>
      <c r="L15" s="25">
        <f>+net_benefits_all!L30/1000000</f>
        <v>-397.259401838332</v>
      </c>
      <c r="M15" s="25">
        <f>+net_benefits_all!M30/1000000</f>
        <v>18.445818139290601</v>
      </c>
      <c r="N15" s="25">
        <f>+net_benefits_all!N30/1000000</f>
        <v>14.3104254008616</v>
      </c>
      <c r="O15" s="1" t="s">
        <v>15</v>
      </c>
    </row>
    <row r="16" spans="2:15" x14ac:dyDescent="0.2">
      <c r="B16" s="1" t="s">
        <v>11</v>
      </c>
      <c r="C16" s="25">
        <f>+net_benefits_all!C31/1000000</f>
        <v>-768.57547822665299</v>
      </c>
      <c r="D16" s="25">
        <f>+net_benefits_all!D31/1000000</f>
        <v>-775.77712167704999</v>
      </c>
      <c r="E16" s="25">
        <f>+net_benefits_all!E31/1000000</f>
        <v>54.260169575154301</v>
      </c>
      <c r="F16" s="25">
        <f>+net_benefits_all!F31/1000000</f>
        <v>18729.431757168702</v>
      </c>
      <c r="G16" s="25">
        <f>+net_benefits_all!G31/1000000</f>
        <v>19530.756014136299</v>
      </c>
      <c r="H16" s="25">
        <f>+net_benefits_all!H31/1000000</f>
        <v>3492.8373862529202</v>
      </c>
      <c r="I16" s="25">
        <f>+net_benefits_all!I31/1000000</f>
        <v>2691.5131293309596</v>
      </c>
      <c r="J16" s="25">
        <f>+net_benefits_all!J31/1000000</f>
        <v>0</v>
      </c>
      <c r="K16" s="25">
        <f>+net_benefits_all!K31/1000000</f>
        <v>801.32425696758196</v>
      </c>
      <c r="L16" s="25">
        <f>+net_benefits_all!L31/1000000</f>
        <v>-801.32425692195795</v>
      </c>
      <c r="M16" s="25">
        <f>+net_benefits_all!M31/1000000</f>
        <v>-21.511390834225402</v>
      </c>
      <c r="N16" s="25">
        <f>+net_benefits_all!N31/1000000</f>
        <v>-28.713034284622402</v>
      </c>
      <c r="O16" s="1" t="s">
        <v>15</v>
      </c>
    </row>
    <row r="17" spans="2:17" x14ac:dyDescent="0.2">
      <c r="B17" s="1" t="s">
        <v>12</v>
      </c>
      <c r="C17" s="25">
        <f>+net_benefits_all!C32/1000000</f>
        <v>4.7697503784764992</v>
      </c>
      <c r="D17" s="25">
        <f>+net_benefits_all!D32/1000000</f>
        <v>4.0529253280545499</v>
      </c>
      <c r="E17" s="25">
        <f>+net_benefits_all!E32/1000000</f>
        <v>8.0042401789675193</v>
      </c>
      <c r="F17" s="25">
        <f>+net_benefits_all!F32/1000000</f>
        <v>19312.306574190101</v>
      </c>
      <c r="G17" s="25">
        <f>+net_benefits_all!G32/1000000</f>
        <v>19312.306574190101</v>
      </c>
      <c r="H17" s="25">
        <f>+net_benefits_all!H32/1000000</f>
        <v>3716.0701421845597</v>
      </c>
      <c r="I17" s="25">
        <f>+net_benefits_all!I32/1000000</f>
        <v>3716.0701421845597</v>
      </c>
      <c r="J17" s="25">
        <f>+net_benefits_all!J32/1000000</f>
        <v>0</v>
      </c>
      <c r="K17" s="25">
        <f>+net_benefits_all!K32/1000000</f>
        <v>0</v>
      </c>
      <c r="L17" s="25">
        <f>+net_benefits_all!L32/1000000</f>
        <v>-1.43051147460937E-12</v>
      </c>
      <c r="M17" s="25">
        <f>+net_benefits_all!M32/1000000</f>
        <v>-3.2344898004910201</v>
      </c>
      <c r="N17" s="25">
        <f>+net_benefits_all!N32/1000000</f>
        <v>-3.9513148509129596</v>
      </c>
      <c r="O17" s="1" t="s">
        <v>15</v>
      </c>
      <c r="P17" s="25"/>
      <c r="Q17" s="25"/>
    </row>
    <row r="18" spans="2:17" x14ac:dyDescent="0.2">
      <c r="B18" s="5" t="s">
        <v>13</v>
      </c>
      <c r="C18" s="83">
        <f>+net_benefits_all!C33/1000000</f>
        <v>3832.2586854168503</v>
      </c>
      <c r="D18" s="83">
        <f>+net_benefits_all!D33/1000000</f>
        <v>-526.28251091723098</v>
      </c>
      <c r="E18" s="83">
        <f>+net_benefits_all!E33/1000000</f>
        <v>412.40411367656998</v>
      </c>
      <c r="F18" s="83">
        <f>+net_benefits_all!F33/1000000</f>
        <v>19312.306574190101</v>
      </c>
      <c r="G18" s="83">
        <f>+net_benefits_all!G33/1000000</f>
        <v>20245.9043845173</v>
      </c>
      <c r="H18" s="83">
        <f>+net_benefits_all!H33/1000000</f>
        <v>3716.0701421845497</v>
      </c>
      <c r="I18" s="83">
        <f>+net_benefits_all!I33/1000000</f>
        <v>2782.4723319359196</v>
      </c>
      <c r="J18" s="83">
        <f>+net_benefits_all!J33/1000000</f>
        <v>-201.56641030684702</v>
      </c>
      <c r="K18" s="83">
        <f>+net_benefits_all!K33/1000000</f>
        <v>933.59781032717501</v>
      </c>
      <c r="L18" s="83">
        <f>+net_benefits_all!L33/1000000</f>
        <v>-933.59781024863298</v>
      </c>
      <c r="M18" s="83">
        <f>+net_benefits_all!M33/1000000</f>
        <v>4555.0187923742997</v>
      </c>
      <c r="N18" s="83">
        <f>+net_benefits_all!N33/1000000</f>
        <v>196.47759604022102</v>
      </c>
      <c r="O18" s="5" t="s">
        <v>15</v>
      </c>
    </row>
    <row r="19" spans="2:17" x14ac:dyDescent="0.2">
      <c r="B19" s="3" t="s">
        <v>14</v>
      </c>
      <c r="C19" s="73">
        <f>+net_benefits_all!C34/1000000</f>
        <v>4834.3275500255204</v>
      </c>
      <c r="D19" s="73">
        <f>+net_benefits_all!D34/1000000</f>
        <v>135.76483614491002</v>
      </c>
      <c r="E19" s="73">
        <f>+net_benefits_all!E34/1000000</f>
        <v>351.69954653679901</v>
      </c>
      <c r="F19" s="73">
        <f>+net_benefits_all!F34/1000000</f>
        <v>18865.344839741403</v>
      </c>
      <c r="G19" s="73">
        <f>+net_benefits_all!G34/1000000</f>
        <v>19051.5127820415</v>
      </c>
      <c r="H19" s="73">
        <f>+net_benefits_all!H34/1000000</f>
        <v>3492.8373862529202</v>
      </c>
      <c r="I19" s="73">
        <f>+net_benefits_all!I34/1000000</f>
        <v>3279.6227420145401</v>
      </c>
      <c r="J19" s="73">
        <f>+net_benefits_all!J34/1000000</f>
        <v>-168.47352437330898</v>
      </c>
      <c r="K19" s="73">
        <f>+net_benefits_all!K34/1000000</f>
        <v>186.16794230009799</v>
      </c>
      <c r="L19" s="73">
        <f>+net_benefits_all!L34/1000000</f>
        <v>-213.214644238376</v>
      </c>
      <c r="M19" s="73">
        <f>+net_benefits_all!M34/1000000</f>
        <v>4837.2694701621303</v>
      </c>
      <c r="N19" s="73">
        <f>+net_benefits_all!N34/1000000</f>
        <v>138.70675628151901</v>
      </c>
      <c r="O19" s="3" t="s">
        <v>15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workbookViewId="0">
      <pane xSplit="2" ySplit="4" topLeftCell="C5" activePane="bottomRight" state="frozen"/>
      <selection pane="topRight" activeCell="C1" sqref="C1"/>
      <selection pane="bottomLeft" activeCell="A2" sqref="A2"/>
      <selection pane="bottomRight"/>
    </sheetView>
  </sheetViews>
  <sheetFormatPr defaultColWidth="9.140625" defaultRowHeight="12" x14ac:dyDescent="0.2"/>
  <cols>
    <col min="1" max="1" width="9.140625" style="1"/>
    <col min="2" max="2" width="39.42578125" style="1" bestFit="1" customWidth="1"/>
    <col min="3" max="15" width="14.7109375" style="1" customWidth="1"/>
    <col min="16" max="16384" width="9.140625" style="1"/>
  </cols>
  <sheetData>
    <row r="1" spans="2:17" x14ac:dyDescent="0.2">
      <c r="B1" s="6" t="s">
        <v>169</v>
      </c>
    </row>
    <row r="4" spans="2:17" ht="84" x14ac:dyDescent="0.2">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7" x14ac:dyDescent="0.2">
      <c r="B5" s="1" t="s">
        <v>205</v>
      </c>
      <c r="C5" s="25">
        <f>+net_benefits_all!C5/1000000</f>
        <v>5353.0931774917799</v>
      </c>
      <c r="D5" s="25">
        <f>+net_benefits_all!D5/1000000</f>
        <v>1494.58918892222</v>
      </c>
      <c r="E5" s="25">
        <f>+net_benefits_all!E5/1000000</f>
        <v>344.15009154361201</v>
      </c>
      <c r="F5" s="25">
        <f>+net_benefits_all!F5/1000000</f>
        <v>18729.431757168702</v>
      </c>
      <c r="G5" s="25">
        <f>+net_benefits_all!G5/1000000</f>
        <v>18874.340847511099</v>
      </c>
      <c r="H5" s="25">
        <f>+net_benefits_all!H5/1000000</f>
        <v>3492.8373862529202</v>
      </c>
      <c r="I5" s="25">
        <f>+net_benefits_all!I5/1000000</f>
        <v>3347.9282975852998</v>
      </c>
      <c r="J5" s="25">
        <f>+net_benefits_all!J5/1000000</f>
        <v>-149.67189242619801</v>
      </c>
      <c r="K5" s="25">
        <f>+net_benefits_all!K5/1000000</f>
        <v>144.909090342399</v>
      </c>
      <c r="L5" s="25">
        <f>+net_benefits_all!L5/1000000</f>
        <v>-144.909088667616</v>
      </c>
      <c r="M5" s="25">
        <f>+net_benefits_all!M5/1000000</f>
        <v>5303.5240687167698</v>
      </c>
      <c r="N5" s="25">
        <f>+net_benefits_all!N5/1000000</f>
        <v>1445.0200801472001</v>
      </c>
      <c r="O5" s="1" t="s">
        <v>0</v>
      </c>
    </row>
    <row r="6" spans="2:17" x14ac:dyDescent="0.2">
      <c r="B6" s="1" t="s">
        <v>1</v>
      </c>
      <c r="C6" s="25">
        <f>+net_benefits_all!C6/1000000</f>
        <v>5219.3080697672704</v>
      </c>
      <c r="D6" s="25">
        <f>+net_benefits_all!D6/1000000</f>
        <v>1652.3700916118501</v>
      </c>
      <c r="E6" s="25">
        <f>+net_benefits_all!E6/1000000</f>
        <v>419.15352230181497</v>
      </c>
      <c r="F6" s="25">
        <f>+net_benefits_all!F6/1000000</f>
        <v>19312.306574190101</v>
      </c>
      <c r="G6" s="25">
        <f>+net_benefits_all!G6/1000000</f>
        <v>19774.096017263098</v>
      </c>
      <c r="H6" s="25">
        <f>+net_benefits_all!H6/1000000</f>
        <v>3716.0701421845497</v>
      </c>
      <c r="I6" s="25">
        <f>+net_benefits_all!I6/1000000</f>
        <v>3254.2807006408702</v>
      </c>
      <c r="J6" s="25">
        <f>+net_benefits_all!J6/1000000</f>
        <v>-201.52517896169098</v>
      </c>
      <c r="K6" s="25">
        <f>+net_benefits_all!K6/1000000</f>
        <v>461.789443072994</v>
      </c>
      <c r="L6" s="25">
        <f>+net_benefits_all!L6/1000000</f>
        <v>-461.78944154368105</v>
      </c>
      <c r="M6" s="25">
        <f>+net_benefits_all!M6/1000000</f>
        <v>5463.4691695001402</v>
      </c>
      <c r="N6" s="25">
        <f>+net_benefits_all!N6/1000000</f>
        <v>1896.5311913447199</v>
      </c>
      <c r="O6" s="1" t="s">
        <v>0</v>
      </c>
    </row>
    <row r="7" spans="2:17" x14ac:dyDescent="0.2">
      <c r="B7" s="1" t="s">
        <v>2</v>
      </c>
      <c r="C7" s="25">
        <f>+net_benefits_all!C7/1000000</f>
        <v>5309.4137131081798</v>
      </c>
      <c r="D7" s="25">
        <f>+net_benefits_all!D7/1000000</f>
        <v>1735.49781205616</v>
      </c>
      <c r="E7" s="25">
        <f>+net_benefits_all!E7/1000000</f>
        <v>420.69589603789802</v>
      </c>
      <c r="F7" s="25">
        <f>+net_benefits_all!F7/1000000</f>
        <v>19312.306574190101</v>
      </c>
      <c r="G7" s="25">
        <f>+net_benefits_all!G7/1000000</f>
        <v>19680.546157073397</v>
      </c>
      <c r="H7" s="25">
        <f>+net_benefits_all!H7/1000000</f>
        <v>3716.0701421845497</v>
      </c>
      <c r="I7" s="25">
        <f>+net_benefits_all!I7/1000000</f>
        <v>3347.83056083056</v>
      </c>
      <c r="J7" s="25">
        <f>+net_benefits_all!J7/1000000</f>
        <v>-201.52188836770497</v>
      </c>
      <c r="K7" s="25">
        <f>+net_benefits_all!K7/1000000</f>
        <v>368.239582883293</v>
      </c>
      <c r="L7" s="25">
        <f>+net_benefits_all!L7/1000000</f>
        <v>-368.23958135398902</v>
      </c>
      <c r="M7" s="25">
        <f>+net_benefits_all!M7/1000000</f>
        <v>5458.4792883212795</v>
      </c>
      <c r="N7" s="25">
        <f>+net_benefits_all!N7/1000000</f>
        <v>1884.5633872692599</v>
      </c>
      <c r="O7" s="1" t="s">
        <v>0</v>
      </c>
    </row>
    <row r="8" spans="2:17" x14ac:dyDescent="0.2">
      <c r="B8" s="1" t="s">
        <v>3</v>
      </c>
      <c r="C8" s="25">
        <f>+net_benefits_all!C8/1000000</f>
        <v>4986.6977839142201</v>
      </c>
      <c r="D8" s="25">
        <f>+net_benefits_all!D8/1000000</f>
        <v>1519.6314059188801</v>
      </c>
      <c r="E8" s="25">
        <f>+net_benefits_all!E8/1000000</f>
        <v>422.16954425417697</v>
      </c>
      <c r="F8" s="25">
        <f>+net_benefits_all!F8/1000000</f>
        <v>19312.306574190101</v>
      </c>
      <c r="G8" s="25">
        <f>+net_benefits_all!G8/1000000</f>
        <v>19607.362560787202</v>
      </c>
      <c r="H8" s="25">
        <f>+net_benefits_all!H8/1000000</f>
        <v>3716.0701421845497</v>
      </c>
      <c r="I8" s="25">
        <f>+net_benefits_all!I8/1000000</f>
        <v>3421.0141569935399</v>
      </c>
      <c r="J8" s="25">
        <f>+net_benefits_all!J8/1000000</f>
        <v>-201.53480651679999</v>
      </c>
      <c r="K8" s="25">
        <f>+net_benefits_all!K8/1000000</f>
        <v>295.055986597095</v>
      </c>
      <c r="L8" s="25">
        <f>+net_benefits_all!L8/1000000</f>
        <v>-295.055985191015</v>
      </c>
      <c r="M8" s="25">
        <f>+net_benefits_all!M8/1000000</f>
        <v>5061.1190327739405</v>
      </c>
      <c r="N8" s="25">
        <f>+net_benefits_all!N8/1000000</f>
        <v>1594.0526547786001</v>
      </c>
      <c r="O8" s="1" t="s">
        <v>0</v>
      </c>
    </row>
    <row r="9" spans="2:17" x14ac:dyDescent="0.2">
      <c r="B9" s="1" t="s">
        <v>4</v>
      </c>
      <c r="C9" s="25">
        <f>+net_benefits_all!C9/1000000</f>
        <v>4197.0982488070595</v>
      </c>
      <c r="D9" s="25">
        <f>+net_benefits_all!D9/1000000</f>
        <v>1759.0961799594299</v>
      </c>
      <c r="E9" s="25">
        <f>+net_benefits_all!E9/1000000</f>
        <v>341.91252746149598</v>
      </c>
      <c r="F9" s="25">
        <f>+net_benefits_all!F9/1000000</f>
        <v>19312.306574190101</v>
      </c>
      <c r="G9" s="25">
        <f>+net_benefits_all!G9/1000000</f>
        <v>19312.306574190101</v>
      </c>
      <c r="H9" s="25">
        <f>+net_benefits_all!H9/1000000</f>
        <v>3716.0701421845497</v>
      </c>
      <c r="I9" s="25">
        <f>+net_benefits_all!I9/1000000</f>
        <v>3716.0701421845497</v>
      </c>
      <c r="J9" s="25">
        <f>+net_benefits_all!J9/1000000</f>
        <v>-222.436517734126</v>
      </c>
      <c r="K9" s="25">
        <f>+net_benefits_all!K9/1000000</f>
        <v>-3.8146972656249998E-12</v>
      </c>
      <c r="L9" s="25">
        <f>+net_benefits_all!L9/1000000</f>
        <v>0</v>
      </c>
      <c r="M9" s="25">
        <f>+net_benefits_all!M9/1000000</f>
        <v>4077.6222390796902</v>
      </c>
      <c r="N9" s="25">
        <f>+net_benefits_all!N9/1000000</f>
        <v>1639.62017023205</v>
      </c>
      <c r="O9" s="1" t="s">
        <v>0</v>
      </c>
    </row>
    <row r="10" spans="2:17" x14ac:dyDescent="0.2">
      <c r="B10" s="1" t="s">
        <v>5</v>
      </c>
      <c r="C10" s="25">
        <f>+net_benefits_all!C10/1000000</f>
        <v>6302.2318881752399</v>
      </c>
      <c r="D10" s="25">
        <f>+net_benefits_all!D10/1000000</f>
        <v>2232.6185013342201</v>
      </c>
      <c r="E10" s="25">
        <f>+net_benefits_all!E10/1000000</f>
        <v>446.81142398275796</v>
      </c>
      <c r="F10" s="25">
        <f>+net_benefits_all!F10/1000000</f>
        <v>19312.306574190101</v>
      </c>
      <c r="G10" s="25">
        <f>+net_benefits_all!G10/1000000</f>
        <v>19047.143635728098</v>
      </c>
      <c r="H10" s="25">
        <f>+net_benefits_all!H10/1000000</f>
        <v>3716.0701421845497</v>
      </c>
      <c r="I10" s="25">
        <f>+net_benefits_all!I10/1000000</f>
        <v>3981.2330821758801</v>
      </c>
      <c r="J10" s="25">
        <f>+net_benefits_all!J10/1000000</f>
        <v>-200.56951218087599</v>
      </c>
      <c r="K10" s="25">
        <f>+net_benefits_all!K10/1000000</f>
        <v>-265.16293846200904</v>
      </c>
      <c r="L10" s="25">
        <f>+net_benefits_all!L10/1000000</f>
        <v>265.16293999132102</v>
      </c>
      <c r="M10" s="25">
        <f>+net_benefits_all!M10/1000000</f>
        <v>5790.8270379113501</v>
      </c>
      <c r="N10" s="25">
        <f>+net_benefits_all!N10/1000000</f>
        <v>1721.2136510703299</v>
      </c>
      <c r="O10" s="1" t="s">
        <v>0</v>
      </c>
      <c r="P10" s="25"/>
      <c r="Q10" s="25"/>
    </row>
    <row r="11" spans="2:17" x14ac:dyDescent="0.2">
      <c r="B11" s="1" t="s">
        <v>6</v>
      </c>
      <c r="C11" s="25">
        <f>+net_benefits_all!C11/1000000</f>
        <v>3493.75459125306</v>
      </c>
      <c r="D11" s="25">
        <f>+net_benefits_all!D11/1000000</f>
        <v>2051.67424504685</v>
      </c>
      <c r="E11" s="25">
        <f>+net_benefits_all!E11/1000000</f>
        <v>90.921778239960403</v>
      </c>
      <c r="F11" s="25">
        <f>+net_benefits_all!F11/1000000</f>
        <v>19312.306574190101</v>
      </c>
      <c r="G11" s="25">
        <f>+net_benefits_all!G11/1000000</f>
        <v>19683.706291797</v>
      </c>
      <c r="H11" s="25">
        <f>+net_benefits_all!H11/1000000</f>
        <v>3716.0701421845497</v>
      </c>
      <c r="I11" s="25">
        <f>+net_benefits_all!I11/1000000</f>
        <v>3344.6704261069999</v>
      </c>
      <c r="J11" s="25">
        <f>+net_benefits_all!J11/1000000</f>
        <v>-215.54167005259799</v>
      </c>
      <c r="K11" s="25">
        <f>+net_benefits_all!K11/1000000</f>
        <v>371.399717606857</v>
      </c>
      <c r="L11" s="25">
        <f>+net_benefits_all!L11/1000000</f>
        <v>-371.39971607755103</v>
      </c>
      <c r="M11" s="25">
        <f>+net_benefits_all!M11/1000000</f>
        <v>3989.7742006725603</v>
      </c>
      <c r="N11" s="25">
        <f>+net_benefits_all!N11/1000000</f>
        <v>2547.6938544663399</v>
      </c>
      <c r="O11" s="1" t="s">
        <v>0</v>
      </c>
    </row>
    <row r="12" spans="2:17" x14ac:dyDescent="0.2">
      <c r="B12" s="1" t="s">
        <v>7</v>
      </c>
      <c r="C12" s="25">
        <f>+net_benefits_all!C12/1000000</f>
        <v>1188.60807755122</v>
      </c>
      <c r="D12" s="25">
        <f>+net_benefits_all!D12/1000000</f>
        <v>1194.5608761988699</v>
      </c>
      <c r="E12" s="25">
        <f>+net_benefits_all!E12/1000000</f>
        <v>56.5447051251586</v>
      </c>
      <c r="F12" s="25">
        <f>+net_benefits_all!F12/1000000</f>
        <v>18729.431757168702</v>
      </c>
      <c r="G12" s="25">
        <f>+net_benefits_all!G12/1000000</f>
        <v>18964.322227948003</v>
      </c>
      <c r="H12" s="25">
        <f>+net_benefits_all!H12/1000000</f>
        <v>3492.8373862529202</v>
      </c>
      <c r="I12" s="25">
        <f>+net_benefits_all!I12/1000000</f>
        <v>3257.9469169700196</v>
      </c>
      <c r="J12" s="25">
        <f>+net_benefits_all!J12/1000000</f>
        <v>0</v>
      </c>
      <c r="K12" s="25">
        <f>+net_benefits_all!K12/1000000</f>
        <v>234.890470779304</v>
      </c>
      <c r="L12" s="25">
        <f>+net_benefits_all!L12/1000000</f>
        <v>-234.8904692829</v>
      </c>
      <c r="M12" s="25">
        <f>+net_benefits_all!M12/1000000</f>
        <v>1366.95384320536</v>
      </c>
      <c r="N12" s="25">
        <f>+net_benefits_all!N12/1000000</f>
        <v>1372.9066418530199</v>
      </c>
      <c r="O12" s="1" t="s">
        <v>0</v>
      </c>
    </row>
    <row r="13" spans="2:17" x14ac:dyDescent="0.2">
      <c r="B13" s="1" t="s">
        <v>8</v>
      </c>
      <c r="C13" s="25">
        <f>+net_benefits_all!C13/1000000</f>
        <v>1258.7675448948901</v>
      </c>
      <c r="D13" s="25">
        <f>+net_benefits_all!D13/1000000</f>
        <v>1301.1306705283998</v>
      </c>
      <c r="E13" s="25">
        <f>+net_benefits_all!E13/1000000</f>
        <v>341.63522645485301</v>
      </c>
      <c r="F13" s="25">
        <f>+net_benefits_all!F13/1000000</f>
        <v>18729.431757168702</v>
      </c>
      <c r="G13" s="25">
        <f>+net_benefits_all!G13/1000000</f>
        <v>18964.322227948003</v>
      </c>
      <c r="H13" s="25">
        <f>+net_benefits_all!H13/1000000</f>
        <v>3492.8373862529202</v>
      </c>
      <c r="I13" s="25">
        <f>+net_benefits_all!I13/1000000</f>
        <v>3257.9469169700196</v>
      </c>
      <c r="J13" s="25">
        <f>+net_benefits_all!J13/1000000</f>
        <v>-200.54117376756099</v>
      </c>
      <c r="K13" s="25">
        <f>+net_benefits_all!K13/1000000</f>
        <v>234.890470779308</v>
      </c>
      <c r="L13" s="25">
        <f>+net_benefits_all!L13/1000000</f>
        <v>-234.8904692829</v>
      </c>
      <c r="M13" s="25">
        <f>+net_benefits_all!M13/1000000</f>
        <v>1352.5639629869002</v>
      </c>
      <c r="N13" s="25">
        <f>+net_benefits_all!N13/1000000</f>
        <v>1394.9270886204099</v>
      </c>
      <c r="O13" s="1" t="s">
        <v>0</v>
      </c>
    </row>
    <row r="14" spans="2:17" x14ac:dyDescent="0.2">
      <c r="B14" s="1" t="s">
        <v>9</v>
      </c>
      <c r="C14" s="25">
        <f>+net_benefits_all!C14/1000000</f>
        <v>2121.26690911483</v>
      </c>
      <c r="D14" s="25">
        <f>+net_benefits_all!D14/1000000</f>
        <v>1238.2124344728702</v>
      </c>
      <c r="E14" s="25">
        <f>+net_benefits_all!E14/1000000</f>
        <v>117.906910566329</v>
      </c>
      <c r="F14" s="25">
        <f>+net_benefits_all!F14/1000000</f>
        <v>18729.431757168702</v>
      </c>
      <c r="G14" s="25">
        <f>+net_benefits_all!G14/1000000</f>
        <v>18944.379074649798</v>
      </c>
      <c r="H14" s="25">
        <f>+net_benefits_all!H14/1000000</f>
        <v>3492.8373862529202</v>
      </c>
      <c r="I14" s="25">
        <f>+net_benefits_all!I14/1000000</f>
        <v>3277.8900702682199</v>
      </c>
      <c r="J14" s="25">
        <f>+net_benefits_all!J14/1000000</f>
        <v>0</v>
      </c>
      <c r="K14" s="25">
        <f>+net_benefits_all!K14/1000000</f>
        <v>214.947317481098</v>
      </c>
      <c r="L14" s="25">
        <f>+net_benefits_all!L14/1000000</f>
        <v>-214.94731598469201</v>
      </c>
      <c r="M14" s="25">
        <f>+net_benefits_all!M14/1000000</f>
        <v>2218.3073160296003</v>
      </c>
      <c r="N14" s="25">
        <f>+net_benefits_all!N14/1000000</f>
        <v>1335.25284138764</v>
      </c>
      <c r="O14" s="1" t="s">
        <v>0</v>
      </c>
    </row>
    <row r="15" spans="2:17" x14ac:dyDescent="0.2">
      <c r="B15" s="1" t="s">
        <v>10</v>
      </c>
      <c r="C15" s="25">
        <f>+net_benefits_all!C15/1000000</f>
        <v>1322.6045443519399</v>
      </c>
      <c r="D15" s="25">
        <f>+net_benefits_all!D15/1000000</f>
        <v>1327.85240227176</v>
      </c>
      <c r="E15" s="25">
        <f>+net_benefits_all!E15/1000000</f>
        <v>66.702996369459498</v>
      </c>
      <c r="F15" s="25">
        <f>+net_benefits_all!F15/1000000</f>
        <v>19312.306574190101</v>
      </c>
      <c r="G15" s="25">
        <f>+net_benefits_all!G15/1000000</f>
        <v>19709.565977557799</v>
      </c>
      <c r="H15" s="25">
        <f>+net_benefits_all!H15/1000000</f>
        <v>3716.0701421845597</v>
      </c>
      <c r="I15" s="25">
        <f>+net_benefits_all!I15/1000000</f>
        <v>3318.81074034622</v>
      </c>
      <c r="J15" s="25">
        <f>+net_benefits_all!J15/1000000</f>
        <v>0</v>
      </c>
      <c r="K15" s="25">
        <f>+net_benefits_all!K15/1000000</f>
        <v>397.25940336764097</v>
      </c>
      <c r="L15" s="25">
        <f>+net_benefits_all!L15/1000000</f>
        <v>-397.259401838332</v>
      </c>
      <c r="M15" s="25">
        <f>+net_benefits_all!M15/1000000</f>
        <v>1653.1609513501301</v>
      </c>
      <c r="N15" s="25">
        <f>+net_benefits_all!N15/1000000</f>
        <v>1658.4088092699399</v>
      </c>
      <c r="O15" s="1" t="s">
        <v>0</v>
      </c>
    </row>
    <row r="16" spans="2:17" x14ac:dyDescent="0.2">
      <c r="B16" s="1" t="s">
        <v>11</v>
      </c>
      <c r="C16" s="25">
        <f>+net_benefits_all!C16/1000000</f>
        <v>891.02987683159699</v>
      </c>
      <c r="D16" s="25">
        <f>+net_benefits_all!D16/1000000</f>
        <v>894.56608201061795</v>
      </c>
      <c r="E16" s="25">
        <f>+net_benefits_all!E16/1000000</f>
        <v>54.260169575154301</v>
      </c>
      <c r="F16" s="25">
        <f>+net_benefits_all!F16/1000000</f>
        <v>18729.431757168702</v>
      </c>
      <c r="G16" s="25">
        <f>+net_benefits_all!G16/1000000</f>
        <v>19530.756014136299</v>
      </c>
      <c r="H16" s="25">
        <f>+net_benefits_all!H16/1000000</f>
        <v>3492.8373862529202</v>
      </c>
      <c r="I16" s="25">
        <f>+net_benefits_all!I16/1000000</f>
        <v>2691.5131293309596</v>
      </c>
      <c r="J16" s="25">
        <f>+net_benefits_all!J16/1000000</f>
        <v>0</v>
      </c>
      <c r="K16" s="25">
        <f>+net_benefits_all!K16/1000000</f>
        <v>801.32425696758196</v>
      </c>
      <c r="L16" s="25">
        <f>+net_benefits_all!L16/1000000</f>
        <v>-801.32425692195795</v>
      </c>
      <c r="M16" s="25">
        <f>+net_benefits_all!M16/1000000</f>
        <v>1638.0939642240201</v>
      </c>
      <c r="N16" s="25">
        <f>+net_benefits_all!N16/1000000</f>
        <v>1641.6301694030399</v>
      </c>
      <c r="O16" s="1" t="s">
        <v>0</v>
      </c>
    </row>
    <row r="17" spans="2:15" x14ac:dyDescent="0.2">
      <c r="B17" s="1" t="s">
        <v>12</v>
      </c>
      <c r="C17" s="25">
        <f>+net_benefits_all!C17/1000000</f>
        <v>1376.6854813345201</v>
      </c>
      <c r="D17" s="25">
        <f>+net_benefits_all!D17/1000000</f>
        <v>1376.8326152715199</v>
      </c>
      <c r="E17" s="25">
        <f>+net_benefits_all!E17/1000000</f>
        <v>8.0042401789675193</v>
      </c>
      <c r="F17" s="25">
        <f>+net_benefits_all!F17/1000000</f>
        <v>19312.306574190101</v>
      </c>
      <c r="G17" s="25">
        <f>+net_benefits_all!G17/1000000</f>
        <v>19312.306574190101</v>
      </c>
      <c r="H17" s="25">
        <f>+net_benefits_all!H17/1000000</f>
        <v>3716.0701421845597</v>
      </c>
      <c r="I17" s="25">
        <f>+net_benefits_all!I17/1000000</f>
        <v>3716.0701421845597</v>
      </c>
      <c r="J17" s="25">
        <f>+net_benefits_all!J17/1000000</f>
        <v>0</v>
      </c>
      <c r="K17" s="25">
        <f>+net_benefits_all!K17/1000000</f>
        <v>0</v>
      </c>
      <c r="L17" s="25">
        <f>+net_benefits_all!L17/1000000</f>
        <v>-1.43051147460937E-12</v>
      </c>
      <c r="M17" s="25">
        <f>+net_benefits_all!M17/1000000</f>
        <v>1368.68124115555</v>
      </c>
      <c r="N17" s="25">
        <f>+net_benefits_all!N17/1000000</f>
        <v>1368.82837509255</v>
      </c>
      <c r="O17" s="1" t="s">
        <v>0</v>
      </c>
    </row>
    <row r="18" spans="2:15" x14ac:dyDescent="0.2">
      <c r="B18" s="5" t="s">
        <v>13</v>
      </c>
      <c r="C18" s="83">
        <f>+net_benefits_all!C18/1000000</f>
        <v>5002.9820877833999</v>
      </c>
      <c r="D18" s="83">
        <f>+net_benefits_all!D18/1000000</f>
        <v>1432.92579055903</v>
      </c>
      <c r="E18" s="83">
        <f>+net_benefits_all!E18/1000000</f>
        <v>412.40411367656998</v>
      </c>
      <c r="F18" s="83">
        <f>+net_benefits_all!F18/1000000</f>
        <v>19312.306574190101</v>
      </c>
      <c r="G18" s="83">
        <f>+net_benefits_all!G18/1000000</f>
        <v>20245.9043845173</v>
      </c>
      <c r="H18" s="83">
        <f>+net_benefits_all!H18/1000000</f>
        <v>3716.0701421845497</v>
      </c>
      <c r="I18" s="83">
        <f>+net_benefits_all!I18/1000000</f>
        <v>2782.4723319359196</v>
      </c>
      <c r="J18" s="83">
        <f>+net_benefits_all!J18/1000000</f>
        <v>-201.56641030684702</v>
      </c>
      <c r="K18" s="83">
        <f>+net_benefits_all!K18/1000000</f>
        <v>933.59781032717501</v>
      </c>
      <c r="L18" s="83">
        <f>+net_benefits_all!L18/1000000</f>
        <v>-933.59781024863298</v>
      </c>
      <c r="M18" s="83">
        <f>+net_benefits_all!M18/1000000</f>
        <v>5725.7421947408602</v>
      </c>
      <c r="N18" s="83">
        <f>+net_benefits_all!N18/1000000</f>
        <v>2155.6858975164801</v>
      </c>
      <c r="O18" s="5" t="s">
        <v>0</v>
      </c>
    </row>
    <row r="19" spans="2:15" x14ac:dyDescent="0.2">
      <c r="B19" s="3" t="s">
        <v>14</v>
      </c>
      <c r="C19" s="73">
        <f>+net_benefits_all!C19/1000000</f>
        <v>5772.5428034720499</v>
      </c>
      <c r="D19" s="73">
        <f>+net_benefits_all!D19/1000000</f>
        <v>1570.3022201145402</v>
      </c>
      <c r="E19" s="73">
        <f>+net_benefits_all!E19/1000000</f>
        <v>351.69954653679901</v>
      </c>
      <c r="F19" s="73">
        <f>+net_benefits_all!F19/1000000</f>
        <v>18865.344839741403</v>
      </c>
      <c r="G19" s="73">
        <f>+net_benefits_all!G19/1000000</f>
        <v>19051.5127820415</v>
      </c>
      <c r="H19" s="73">
        <f>+net_benefits_all!H19/1000000</f>
        <v>3492.8373862529202</v>
      </c>
      <c r="I19" s="73">
        <f>+net_benefits_all!I19/1000000</f>
        <v>3279.6227420145401</v>
      </c>
      <c r="J19" s="73">
        <f>+net_benefits_all!J19/1000000</f>
        <v>-168.47352437330898</v>
      </c>
      <c r="K19" s="73">
        <f>+net_benefits_all!K19/1000000</f>
        <v>186.16794230009799</v>
      </c>
      <c r="L19" s="73">
        <f>+net_benefits_all!L19/1000000</f>
        <v>-213.214644238376</v>
      </c>
      <c r="M19" s="73">
        <f>+net_benefits_all!M19/1000000</f>
        <v>5775.4847236086598</v>
      </c>
      <c r="N19" s="73">
        <f>+net_benefits_all!N19/1000000</f>
        <v>1573.2441402511499</v>
      </c>
      <c r="O19" s="3" t="s">
        <v>0</v>
      </c>
    </row>
    <row r="20" spans="2:15" x14ac:dyDescent="0.2">
      <c r="C20" s="25"/>
      <c r="D20" s="25"/>
      <c r="E20" s="25"/>
      <c r="F20" s="25"/>
      <c r="G20" s="25"/>
      <c r="H20" s="25"/>
      <c r="I20" s="25"/>
      <c r="J20" s="25"/>
      <c r="K20" s="25"/>
      <c r="L20" s="25"/>
      <c r="M20" s="25"/>
      <c r="N20" s="25"/>
    </row>
    <row r="21" spans="2:15" x14ac:dyDescent="0.2">
      <c r="C21" s="25"/>
      <c r="D21" s="25"/>
      <c r="E21" s="25"/>
      <c r="F21" s="25"/>
      <c r="G21" s="25"/>
      <c r="H21" s="25"/>
      <c r="I21" s="25"/>
      <c r="J21" s="25"/>
      <c r="K21" s="25"/>
      <c r="L21" s="25"/>
      <c r="M21" s="25"/>
      <c r="N21" s="25"/>
    </row>
    <row r="22" spans="2:15" x14ac:dyDescent="0.2">
      <c r="C22" s="25"/>
      <c r="D22" s="25"/>
      <c r="E22" s="25"/>
      <c r="F22" s="25"/>
      <c r="G22" s="25"/>
      <c r="H22" s="25"/>
      <c r="I22" s="25"/>
      <c r="J22" s="25"/>
      <c r="K22" s="25"/>
      <c r="L22" s="25"/>
      <c r="M22" s="25"/>
      <c r="N22" s="25"/>
    </row>
    <row r="23" spans="2:15" x14ac:dyDescent="0.2">
      <c r="C23" s="25"/>
      <c r="D23" s="25"/>
      <c r="E23" s="25"/>
      <c r="F23" s="25"/>
      <c r="G23" s="25"/>
      <c r="H23" s="25"/>
      <c r="I23" s="25"/>
      <c r="J23" s="25"/>
      <c r="K23" s="25"/>
      <c r="L23" s="25"/>
      <c r="M23" s="25"/>
      <c r="N23" s="25"/>
    </row>
    <row r="24" spans="2:15" x14ac:dyDescent="0.2">
      <c r="C24" s="25"/>
      <c r="D24" s="25"/>
      <c r="E24" s="25"/>
      <c r="F24" s="25"/>
      <c r="G24" s="25"/>
      <c r="H24" s="25"/>
      <c r="I24" s="25"/>
      <c r="J24" s="25"/>
      <c r="K24" s="25"/>
      <c r="L24" s="25"/>
      <c r="M24" s="25"/>
      <c r="N24" s="25"/>
    </row>
    <row r="25" spans="2:15" x14ac:dyDescent="0.2">
      <c r="C25" s="25"/>
      <c r="D25" s="25"/>
      <c r="E25" s="25"/>
      <c r="F25" s="25"/>
      <c r="G25" s="25"/>
      <c r="H25" s="25"/>
      <c r="I25" s="25"/>
      <c r="J25" s="25"/>
      <c r="K25" s="25"/>
      <c r="L25" s="25"/>
      <c r="M25" s="25"/>
      <c r="N25" s="25"/>
    </row>
    <row r="26" spans="2:15" x14ac:dyDescent="0.2">
      <c r="C26" s="25"/>
      <c r="D26" s="25"/>
      <c r="E26" s="25"/>
      <c r="F26" s="25"/>
      <c r="G26" s="25"/>
      <c r="H26" s="25"/>
      <c r="I26" s="25"/>
      <c r="J26" s="25"/>
      <c r="K26" s="25"/>
      <c r="L26" s="25"/>
      <c r="M26" s="25"/>
      <c r="N26" s="25"/>
    </row>
    <row r="27" spans="2:15" x14ac:dyDescent="0.2">
      <c r="C27" s="25"/>
      <c r="D27" s="25"/>
      <c r="E27" s="25"/>
      <c r="F27" s="25"/>
      <c r="G27" s="25"/>
      <c r="H27" s="25"/>
      <c r="I27" s="25"/>
      <c r="J27" s="25"/>
      <c r="K27" s="25"/>
      <c r="L27" s="25"/>
      <c r="M27" s="25"/>
      <c r="N27" s="25"/>
    </row>
    <row r="28" spans="2:15" x14ac:dyDescent="0.2">
      <c r="C28" s="25"/>
      <c r="D28" s="25"/>
      <c r="E28" s="25"/>
      <c r="F28" s="25"/>
      <c r="G28" s="25"/>
      <c r="H28" s="25"/>
      <c r="I28" s="25"/>
      <c r="J28" s="25"/>
      <c r="K28" s="25"/>
      <c r="L28" s="25"/>
      <c r="M28" s="25"/>
      <c r="N28" s="25"/>
    </row>
    <row r="29" spans="2:15" x14ac:dyDescent="0.2">
      <c r="C29" s="25"/>
      <c r="D29" s="25"/>
      <c r="E29" s="25"/>
      <c r="F29" s="25"/>
      <c r="G29" s="25"/>
      <c r="H29" s="25"/>
      <c r="I29" s="25"/>
      <c r="J29" s="25"/>
      <c r="K29" s="25"/>
      <c r="L29" s="25"/>
      <c r="M29" s="25"/>
      <c r="N29" s="25"/>
    </row>
    <row r="30" spans="2:15" x14ac:dyDescent="0.2">
      <c r="C30" s="25"/>
      <c r="D30" s="25"/>
      <c r="E30" s="25"/>
      <c r="F30" s="25"/>
      <c r="G30" s="25"/>
      <c r="H30" s="25"/>
      <c r="I30" s="25"/>
      <c r="J30" s="25"/>
      <c r="K30" s="25"/>
      <c r="L30" s="25"/>
      <c r="M30" s="25"/>
      <c r="N30"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workbookViewId="0">
      <pane xSplit="2" ySplit="4" topLeftCell="C5" activePane="bottomRight" state="frozen"/>
      <selection pane="topRight" activeCell="C1" sqref="C1"/>
      <selection pane="bottomLeft" activeCell="A2" sqref="A2"/>
      <selection pane="bottomRight"/>
    </sheetView>
  </sheetViews>
  <sheetFormatPr defaultColWidth="9.140625" defaultRowHeight="12" x14ac:dyDescent="0.2"/>
  <cols>
    <col min="1" max="1" width="9.140625" style="1"/>
    <col min="2" max="2" width="39.42578125" style="1" bestFit="1" customWidth="1"/>
    <col min="3" max="3" width="9.140625" style="1"/>
    <col min="4" max="10" width="14.140625" style="1" customWidth="1"/>
    <col min="11" max="11" width="17.7109375" style="1" customWidth="1"/>
    <col min="12" max="12" width="16.42578125" style="1" customWidth="1"/>
    <col min="13" max="15" width="14.140625" style="1" customWidth="1"/>
    <col min="16" max="16384" width="9.140625" style="1"/>
  </cols>
  <sheetData>
    <row r="1" spans="2:17" x14ac:dyDescent="0.2">
      <c r="B1" s="6" t="s">
        <v>169</v>
      </c>
    </row>
    <row r="4" spans="2:17" ht="72" x14ac:dyDescent="0.2">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7" x14ac:dyDescent="0.2">
      <c r="B5" s="1" t="str">
        <f>+net_benefits_all!B5</f>
        <v>All</v>
      </c>
      <c r="C5" s="25">
        <f>+net_benefits_all!C5/1000000</f>
        <v>5353.0931774917799</v>
      </c>
      <c r="D5" s="25">
        <f>+net_benefits_all!D5/1000000</f>
        <v>1494.58918892222</v>
      </c>
      <c r="E5" s="25">
        <f>+net_benefits_all!E5/1000000</f>
        <v>344.15009154361201</v>
      </c>
      <c r="F5" s="25">
        <f>+net_benefits_all!F5/1000000</f>
        <v>18729.431757168702</v>
      </c>
      <c r="G5" s="25">
        <f>+net_benefits_all!G5/1000000</f>
        <v>18874.340847511099</v>
      </c>
      <c r="H5" s="25">
        <f>+net_benefits_all!H5/1000000</f>
        <v>3492.8373862529202</v>
      </c>
      <c r="I5" s="25">
        <f>+net_benefits_all!I5/1000000</f>
        <v>3347.9282975852998</v>
      </c>
      <c r="J5" s="25">
        <f>+net_benefits_all!J5/1000000</f>
        <v>-149.67189242619801</v>
      </c>
      <c r="K5" s="25">
        <f>+net_benefits_all!K5/1000000</f>
        <v>144.909090342399</v>
      </c>
      <c r="L5" s="25">
        <f>+net_benefits_all!L5/1000000</f>
        <v>-144.909088667616</v>
      </c>
      <c r="M5" s="25">
        <f>+net_benefits_all!M5/1000000</f>
        <v>5303.5240687167698</v>
      </c>
      <c r="N5" s="25">
        <f>+net_benefits_all!N5/1000000</f>
        <v>1445.0200801472001</v>
      </c>
      <c r="O5" s="1" t="s">
        <v>0</v>
      </c>
    </row>
    <row r="6" spans="2:17" x14ac:dyDescent="0.2">
      <c r="B6" s="1" t="str">
        <f>+net_benefits_all!B6</f>
        <v>All_Major_Capex_30_70</v>
      </c>
      <c r="C6" s="25">
        <f>+net_benefits_all!C6/1000000</f>
        <v>5219.3080697672704</v>
      </c>
      <c r="D6" s="25">
        <f>+net_benefits_all!D6/1000000</f>
        <v>1652.3700916118501</v>
      </c>
      <c r="E6" s="25">
        <f>+net_benefits_all!E6/1000000</f>
        <v>419.15352230181497</v>
      </c>
      <c r="F6" s="25">
        <f>+net_benefits_all!F6/1000000</f>
        <v>19312.306574190101</v>
      </c>
      <c r="G6" s="25">
        <f>+net_benefits_all!G6/1000000</f>
        <v>19774.096017263098</v>
      </c>
      <c r="H6" s="25">
        <f>+net_benefits_all!H6/1000000</f>
        <v>3716.0701421845497</v>
      </c>
      <c r="I6" s="25">
        <f>+net_benefits_all!I6/1000000</f>
        <v>3254.2807006408702</v>
      </c>
      <c r="J6" s="25">
        <f>+net_benefits_all!J6/1000000</f>
        <v>-201.52517896169098</v>
      </c>
      <c r="K6" s="25">
        <f>+net_benefits_all!K6/1000000</f>
        <v>461.789443072994</v>
      </c>
      <c r="L6" s="25">
        <f>+net_benefits_all!L6/1000000</f>
        <v>-461.78944154368105</v>
      </c>
      <c r="M6" s="25">
        <f>+net_benefits_all!M6/1000000</f>
        <v>5463.4691695001402</v>
      </c>
      <c r="N6" s="25">
        <f>+net_benefits_all!N6/1000000</f>
        <v>1896.5311913447199</v>
      </c>
      <c r="O6" s="1" t="s">
        <v>0</v>
      </c>
    </row>
    <row r="7" spans="2:17" x14ac:dyDescent="0.2">
      <c r="B7" s="1" t="str">
        <f>+net_benefits_all!B7</f>
        <v>All_major_capex</v>
      </c>
      <c r="C7" s="25">
        <f>+net_benefits_all!C7/1000000</f>
        <v>5309.4137131081798</v>
      </c>
      <c r="D7" s="25">
        <f>+net_benefits_all!D7/1000000</f>
        <v>1735.49781205616</v>
      </c>
      <c r="E7" s="25">
        <f>+net_benefits_all!E7/1000000</f>
        <v>420.69589603789802</v>
      </c>
      <c r="F7" s="25">
        <f>+net_benefits_all!F7/1000000</f>
        <v>19312.306574190101</v>
      </c>
      <c r="G7" s="25">
        <f>+net_benefits_all!G7/1000000</f>
        <v>19680.546157073397</v>
      </c>
      <c r="H7" s="25">
        <f>+net_benefits_all!H7/1000000</f>
        <v>3716.0701421845497</v>
      </c>
      <c r="I7" s="25">
        <f>+net_benefits_all!I7/1000000</f>
        <v>3347.83056083056</v>
      </c>
      <c r="J7" s="25">
        <f>+net_benefits_all!J7/1000000</f>
        <v>-201.52188836770497</v>
      </c>
      <c r="K7" s="25">
        <f>+net_benefits_all!K7/1000000</f>
        <v>368.239582883293</v>
      </c>
      <c r="L7" s="25">
        <f>+net_benefits_all!L7/1000000</f>
        <v>-368.23958135398902</v>
      </c>
      <c r="M7" s="25">
        <f>+net_benefits_all!M7/1000000</f>
        <v>5458.4792883212795</v>
      </c>
      <c r="N7" s="25">
        <f>+net_benefits_all!N7/1000000</f>
        <v>1884.5633872692599</v>
      </c>
      <c r="O7" s="1" t="s">
        <v>0</v>
      </c>
    </row>
    <row r="8" spans="2:17" x14ac:dyDescent="0.2">
      <c r="B8" s="1" t="str">
        <f>+net_benefits_all!B8</f>
        <v>All_major_capex_2024</v>
      </c>
      <c r="C8" s="25">
        <f>+net_benefits_all!C8/1000000</f>
        <v>4986.6977839142201</v>
      </c>
      <c r="D8" s="25">
        <f>+net_benefits_all!D8/1000000</f>
        <v>1519.6314059188801</v>
      </c>
      <c r="E8" s="25">
        <f>+net_benefits_all!E8/1000000</f>
        <v>422.16954425417697</v>
      </c>
      <c r="F8" s="25">
        <f>+net_benefits_all!F8/1000000</f>
        <v>19312.306574190101</v>
      </c>
      <c r="G8" s="25">
        <f>+net_benefits_all!G8/1000000</f>
        <v>19607.362560787202</v>
      </c>
      <c r="H8" s="25">
        <f>+net_benefits_all!H8/1000000</f>
        <v>3716.0701421845497</v>
      </c>
      <c r="I8" s="25">
        <f>+net_benefits_all!I8/1000000</f>
        <v>3421.0141569935399</v>
      </c>
      <c r="J8" s="25">
        <f>+net_benefits_all!J8/1000000</f>
        <v>-201.53480651679999</v>
      </c>
      <c r="K8" s="25">
        <f>+net_benefits_all!K8/1000000</f>
        <v>295.055986597095</v>
      </c>
      <c r="L8" s="25">
        <f>+net_benefits_all!L8/1000000</f>
        <v>-295.055985191015</v>
      </c>
      <c r="M8" s="25">
        <f>+net_benefits_all!M8/1000000</f>
        <v>5061.1190327739405</v>
      </c>
      <c r="N8" s="25">
        <f>+net_benefits_all!N8/1000000</f>
        <v>1594.0526547786001</v>
      </c>
      <c r="O8" s="1" t="s">
        <v>0</v>
      </c>
    </row>
    <row r="9" spans="2:17" x14ac:dyDescent="0.2">
      <c r="B9" s="1" t="str">
        <f>+net_benefits_all!B9</f>
        <v>All_major_capex_alternative</v>
      </c>
      <c r="C9" s="25">
        <f>+net_benefits_all!C9/1000000</f>
        <v>4197.0982488070595</v>
      </c>
      <c r="D9" s="25">
        <f>+net_benefits_all!D9/1000000</f>
        <v>1759.0961799594299</v>
      </c>
      <c r="E9" s="25">
        <f>+net_benefits_all!E9/1000000</f>
        <v>341.91252746149598</v>
      </c>
      <c r="F9" s="25">
        <f>+net_benefits_all!F9/1000000</f>
        <v>19312.306574190101</v>
      </c>
      <c r="G9" s="25">
        <f>+net_benefits_all!G9/1000000</f>
        <v>19312.306574190101</v>
      </c>
      <c r="H9" s="25">
        <f>+net_benefits_all!H9/1000000</f>
        <v>3716.0701421845497</v>
      </c>
      <c r="I9" s="25">
        <f>+net_benefits_all!I9/1000000</f>
        <v>3716.0701421845497</v>
      </c>
      <c r="J9" s="25">
        <f>+net_benefits_all!J9/1000000</f>
        <v>-222.436517734126</v>
      </c>
      <c r="K9" s="25">
        <f>+net_benefits_all!K9/1000000</f>
        <v>-3.8146972656249998E-12</v>
      </c>
      <c r="L9" s="25">
        <f>+net_benefits_all!L9/1000000</f>
        <v>0</v>
      </c>
      <c r="M9" s="25">
        <f>+net_benefits_all!M9/1000000</f>
        <v>4077.6222390796902</v>
      </c>
      <c r="N9" s="25">
        <f>+net_benefits_all!N9/1000000</f>
        <v>1639.62017023205</v>
      </c>
      <c r="O9" s="1" t="s">
        <v>0</v>
      </c>
    </row>
    <row r="10" spans="2:17" x14ac:dyDescent="0.2">
      <c r="B10" s="1" t="str">
        <f>+net_benefits_all!B10</f>
        <v>All_major_capex_gen_benefits</v>
      </c>
      <c r="C10" s="25">
        <f>+net_benefits_all!C10/1000000</f>
        <v>6302.2318881752399</v>
      </c>
      <c r="D10" s="25">
        <f>+net_benefits_all!D10/1000000</f>
        <v>2232.6185013342201</v>
      </c>
      <c r="E10" s="25">
        <f>+net_benefits_all!E10/1000000</f>
        <v>446.81142398275796</v>
      </c>
      <c r="F10" s="25">
        <f>+net_benefits_all!F10/1000000</f>
        <v>19312.306574190101</v>
      </c>
      <c r="G10" s="25">
        <f>+net_benefits_all!G10/1000000</f>
        <v>19047.143635728098</v>
      </c>
      <c r="H10" s="25">
        <f>+net_benefits_all!H10/1000000</f>
        <v>3716.0701421845497</v>
      </c>
      <c r="I10" s="25">
        <f>+net_benefits_all!I10/1000000</f>
        <v>3981.2330821758801</v>
      </c>
      <c r="J10" s="25">
        <f>+net_benefits_all!J10/1000000</f>
        <v>-200.56951218087599</v>
      </c>
      <c r="K10" s="25">
        <f>+net_benefits_all!K10/1000000</f>
        <v>-265.16293846200904</v>
      </c>
      <c r="L10" s="25">
        <f>+net_benefits_all!L10/1000000</f>
        <v>265.16293999132102</v>
      </c>
      <c r="M10" s="25">
        <f>+net_benefits_all!M10/1000000</f>
        <v>5790.8270379113501</v>
      </c>
      <c r="N10" s="25">
        <f>+net_benefits_all!N10/1000000</f>
        <v>1721.2136510703299</v>
      </c>
      <c r="O10" s="1" t="s">
        <v>0</v>
      </c>
      <c r="P10" s="25"/>
      <c r="Q10" s="25"/>
    </row>
    <row r="11" spans="2:17" x14ac:dyDescent="0.2">
      <c r="B11" s="1" t="str">
        <f>+net_benefits_all!B11</f>
        <v>All_major_capex_tiwai_off</v>
      </c>
      <c r="C11" s="25">
        <f>+net_benefits_all!C11/1000000</f>
        <v>3493.75459125306</v>
      </c>
      <c r="D11" s="25">
        <f>+net_benefits_all!D11/1000000</f>
        <v>2051.67424504685</v>
      </c>
      <c r="E11" s="25">
        <f>+net_benefits_all!E11/1000000</f>
        <v>90.921778239960403</v>
      </c>
      <c r="F11" s="25">
        <f>+net_benefits_all!F11/1000000</f>
        <v>19312.306574190101</v>
      </c>
      <c r="G11" s="25">
        <f>+net_benefits_all!G11/1000000</f>
        <v>19683.706291797</v>
      </c>
      <c r="H11" s="25">
        <f>+net_benefits_all!H11/1000000</f>
        <v>3716.0701421845497</v>
      </c>
      <c r="I11" s="25">
        <f>+net_benefits_all!I11/1000000</f>
        <v>3344.6704261069999</v>
      </c>
      <c r="J11" s="25">
        <f>+net_benefits_all!J11/1000000</f>
        <v>-215.54167005259799</v>
      </c>
      <c r="K11" s="25">
        <f>+net_benefits_all!K11/1000000</f>
        <v>371.399717606857</v>
      </c>
      <c r="L11" s="25">
        <f>+net_benefits_all!L11/1000000</f>
        <v>-371.39971607755103</v>
      </c>
      <c r="M11" s="25">
        <f>+net_benefits_all!M11/1000000</f>
        <v>3989.7742006725603</v>
      </c>
      <c r="N11" s="25">
        <f>+net_benefits_all!N11/1000000</f>
        <v>2547.6938544663399</v>
      </c>
      <c r="O11" s="1" t="s">
        <v>0</v>
      </c>
    </row>
    <row r="12" spans="2:17" x14ac:dyDescent="0.2">
      <c r="B12" s="1" t="str">
        <f>+net_benefits_all!B12</f>
        <v>Demand</v>
      </c>
      <c r="C12" s="25">
        <f>+net_benefits_all!C12/1000000</f>
        <v>1188.60807755122</v>
      </c>
      <c r="D12" s="25">
        <f>+net_benefits_all!D12/1000000</f>
        <v>1194.5608761988699</v>
      </c>
      <c r="E12" s="25">
        <f>+net_benefits_all!E12/1000000</f>
        <v>56.5447051251586</v>
      </c>
      <c r="F12" s="25">
        <f>+net_benefits_all!F12/1000000</f>
        <v>18729.431757168702</v>
      </c>
      <c r="G12" s="25">
        <f>+net_benefits_all!G12/1000000</f>
        <v>18964.322227948003</v>
      </c>
      <c r="H12" s="25">
        <f>+net_benefits_all!H12/1000000</f>
        <v>3492.8373862529202</v>
      </c>
      <c r="I12" s="25">
        <f>+net_benefits_all!I12/1000000</f>
        <v>3257.9469169700196</v>
      </c>
      <c r="J12" s="25">
        <f>+net_benefits_all!J12/1000000</f>
        <v>0</v>
      </c>
      <c r="K12" s="25">
        <f>+net_benefits_all!K12/1000000</f>
        <v>234.890470779304</v>
      </c>
      <c r="L12" s="25">
        <f>+net_benefits_all!L12/1000000</f>
        <v>-234.8904692829</v>
      </c>
      <c r="M12" s="25">
        <f>+net_benefits_all!M12/1000000</f>
        <v>1366.95384320536</v>
      </c>
      <c r="N12" s="25">
        <f>+net_benefits_all!N12/1000000</f>
        <v>1372.9066418530199</v>
      </c>
      <c r="O12" s="1" t="s">
        <v>0</v>
      </c>
    </row>
    <row r="13" spans="2:17" x14ac:dyDescent="0.2">
      <c r="B13" s="1" t="str">
        <f>+net_benefits_all!B13</f>
        <v>Demand_and_DG_investment</v>
      </c>
      <c r="C13" s="25">
        <f>+net_benefits_all!C13/1000000</f>
        <v>1258.7675448948901</v>
      </c>
      <c r="D13" s="25">
        <f>+net_benefits_all!D13/1000000</f>
        <v>1301.1306705283998</v>
      </c>
      <c r="E13" s="25">
        <f>+net_benefits_all!E13/1000000</f>
        <v>341.63522645485301</v>
      </c>
      <c r="F13" s="25">
        <f>+net_benefits_all!F13/1000000</f>
        <v>18729.431757168702</v>
      </c>
      <c r="G13" s="25">
        <f>+net_benefits_all!G13/1000000</f>
        <v>18964.322227948003</v>
      </c>
      <c r="H13" s="25">
        <f>+net_benefits_all!H13/1000000</f>
        <v>3492.8373862529202</v>
      </c>
      <c r="I13" s="25">
        <f>+net_benefits_all!I13/1000000</f>
        <v>3257.9469169700196</v>
      </c>
      <c r="J13" s="25">
        <f>+net_benefits_all!J13/1000000</f>
        <v>-200.54117376756099</v>
      </c>
      <c r="K13" s="25">
        <f>+net_benefits_all!K13/1000000</f>
        <v>234.890470779308</v>
      </c>
      <c r="L13" s="25">
        <f>+net_benefits_all!L13/1000000</f>
        <v>-234.8904692829</v>
      </c>
      <c r="M13" s="25">
        <f>+net_benefits_all!M13/1000000</f>
        <v>1352.5639629869002</v>
      </c>
      <c r="N13" s="25">
        <f>+net_benefits_all!N13/1000000</f>
        <v>1394.9270886204099</v>
      </c>
      <c r="O13" s="1" t="s">
        <v>0</v>
      </c>
    </row>
    <row r="14" spans="2:17" x14ac:dyDescent="0.2">
      <c r="B14" s="1" t="str">
        <f>+net_benefits_all!B14</f>
        <v>Demand_and_gen_investment</v>
      </c>
      <c r="C14" s="25">
        <f>+net_benefits_all!C14/1000000</f>
        <v>2121.26690911483</v>
      </c>
      <c r="D14" s="25">
        <f>+net_benefits_all!D14/1000000</f>
        <v>1238.2124344728702</v>
      </c>
      <c r="E14" s="25">
        <f>+net_benefits_all!E14/1000000</f>
        <v>117.906910566329</v>
      </c>
      <c r="F14" s="25">
        <f>+net_benefits_all!F14/1000000</f>
        <v>18729.431757168702</v>
      </c>
      <c r="G14" s="25">
        <f>+net_benefits_all!G14/1000000</f>
        <v>18944.379074649798</v>
      </c>
      <c r="H14" s="25">
        <f>+net_benefits_all!H14/1000000</f>
        <v>3492.8373862529202</v>
      </c>
      <c r="I14" s="25">
        <f>+net_benefits_all!I14/1000000</f>
        <v>3277.8900702682199</v>
      </c>
      <c r="J14" s="25">
        <f>+net_benefits_all!J14/1000000</f>
        <v>0</v>
      </c>
      <c r="K14" s="25">
        <f>+net_benefits_all!K14/1000000</f>
        <v>214.947317481098</v>
      </c>
      <c r="L14" s="25">
        <f>+net_benefits_all!L14/1000000</f>
        <v>-214.94731598469201</v>
      </c>
      <c r="M14" s="25">
        <f>+net_benefits_all!M14/1000000</f>
        <v>2218.3073160296003</v>
      </c>
      <c r="N14" s="25">
        <f>+net_benefits_all!N14/1000000</f>
        <v>1335.25284138764</v>
      </c>
      <c r="O14" s="1" t="s">
        <v>0</v>
      </c>
    </row>
    <row r="15" spans="2:17" x14ac:dyDescent="0.2">
      <c r="B15" s="1" t="str">
        <f>+net_benefits_all!B15</f>
        <v>Demand_major_capex</v>
      </c>
      <c r="C15" s="25">
        <f>+net_benefits_all!C15/1000000</f>
        <v>1322.6045443519399</v>
      </c>
      <c r="D15" s="25">
        <f>+net_benefits_all!D15/1000000</f>
        <v>1327.85240227176</v>
      </c>
      <c r="E15" s="25">
        <f>+net_benefits_all!E15/1000000</f>
        <v>66.702996369459498</v>
      </c>
      <c r="F15" s="25">
        <f>+net_benefits_all!F15/1000000</f>
        <v>19312.306574190101</v>
      </c>
      <c r="G15" s="25">
        <f>+net_benefits_all!G15/1000000</f>
        <v>19709.565977557799</v>
      </c>
      <c r="H15" s="25">
        <f>+net_benefits_all!H15/1000000</f>
        <v>3716.0701421845597</v>
      </c>
      <c r="I15" s="25">
        <f>+net_benefits_all!I15/1000000</f>
        <v>3318.81074034622</v>
      </c>
      <c r="J15" s="25">
        <f>+net_benefits_all!J15/1000000</f>
        <v>0</v>
      </c>
      <c r="K15" s="25">
        <f>+net_benefits_all!K15/1000000</f>
        <v>397.25940336764097</v>
      </c>
      <c r="L15" s="25">
        <f>+net_benefits_all!L15/1000000</f>
        <v>-397.259401838332</v>
      </c>
      <c r="M15" s="25">
        <f>+net_benefits_all!M15/1000000</f>
        <v>1653.1609513501301</v>
      </c>
      <c r="N15" s="25">
        <f>+net_benefits_all!N15/1000000</f>
        <v>1658.4088092699399</v>
      </c>
      <c r="O15" s="1" t="s">
        <v>0</v>
      </c>
    </row>
    <row r="16" spans="2:17" x14ac:dyDescent="0.2">
      <c r="B16" s="1" t="str">
        <f>+net_benefits_all!B16</f>
        <v>Demand_no_aob_on_existing</v>
      </c>
      <c r="C16" s="25">
        <f>+net_benefits_all!C16/1000000</f>
        <v>891.02987683159699</v>
      </c>
      <c r="D16" s="25">
        <f>+net_benefits_all!D16/1000000</f>
        <v>894.56608201061795</v>
      </c>
      <c r="E16" s="25">
        <f>+net_benefits_all!E16/1000000</f>
        <v>54.260169575154301</v>
      </c>
      <c r="F16" s="25">
        <f>+net_benefits_all!F16/1000000</f>
        <v>18729.431757168702</v>
      </c>
      <c r="G16" s="25">
        <f>+net_benefits_all!G16/1000000</f>
        <v>19530.756014136299</v>
      </c>
      <c r="H16" s="25">
        <f>+net_benefits_all!H16/1000000</f>
        <v>3492.8373862529202</v>
      </c>
      <c r="I16" s="25">
        <f>+net_benefits_all!I16/1000000</f>
        <v>2691.5131293309596</v>
      </c>
      <c r="J16" s="25">
        <f>+net_benefits_all!J16/1000000</f>
        <v>0</v>
      </c>
      <c r="K16" s="25">
        <f>+net_benefits_all!K16/1000000</f>
        <v>801.32425696758196</v>
      </c>
      <c r="L16" s="25">
        <f>+net_benefits_all!L16/1000000</f>
        <v>-801.32425692195795</v>
      </c>
      <c r="M16" s="25">
        <f>+net_benefits_all!M16/1000000</f>
        <v>1638.0939642240201</v>
      </c>
      <c r="N16" s="25">
        <f>+net_benefits_all!N16/1000000</f>
        <v>1641.6301694030399</v>
      </c>
      <c r="O16" s="1" t="s">
        <v>0</v>
      </c>
    </row>
    <row r="17" spans="2:15" x14ac:dyDescent="0.2">
      <c r="B17" s="1" t="str">
        <f>+net_benefits_all!B17</f>
        <v>MWh_Demand_major_capex</v>
      </c>
      <c r="C17" s="25">
        <f>+net_benefits_all!C17/1000000</f>
        <v>1376.6854813345201</v>
      </c>
      <c r="D17" s="25">
        <f>+net_benefits_all!D17/1000000</f>
        <v>1376.8326152715199</v>
      </c>
      <c r="E17" s="25">
        <f>+net_benefits_all!E17/1000000</f>
        <v>8.0042401789675193</v>
      </c>
      <c r="F17" s="25">
        <f>+net_benefits_all!F17/1000000</f>
        <v>19312.306574190101</v>
      </c>
      <c r="G17" s="25">
        <f>+net_benefits_all!G17/1000000</f>
        <v>19312.306574190101</v>
      </c>
      <c r="H17" s="25">
        <f>+net_benefits_all!H17/1000000</f>
        <v>3716.0701421845597</v>
      </c>
      <c r="I17" s="25">
        <f>+net_benefits_all!I17/1000000</f>
        <v>3716.0701421845597</v>
      </c>
      <c r="J17" s="25">
        <f>+net_benefits_all!J17/1000000</f>
        <v>0</v>
      </c>
      <c r="K17" s="25">
        <f>+net_benefits_all!K17/1000000</f>
        <v>0</v>
      </c>
      <c r="L17" s="25">
        <f>+net_benefits_all!L17/1000000</f>
        <v>-1.43051147460937E-12</v>
      </c>
      <c r="M17" s="25">
        <f>+net_benefits_all!M17/1000000</f>
        <v>1368.68124115555</v>
      </c>
      <c r="N17" s="25">
        <f>+net_benefits_all!N17/1000000</f>
        <v>1368.82837509255</v>
      </c>
      <c r="O17" s="1" t="s">
        <v>0</v>
      </c>
    </row>
    <row r="18" spans="2:15" x14ac:dyDescent="0.2">
      <c r="B18" s="1" t="str">
        <f>+net_benefits_all!B18</f>
        <v>No_AoB_on_existing</v>
      </c>
      <c r="C18" s="25">
        <f>+net_benefits_all!C18/1000000</f>
        <v>5002.9820877833999</v>
      </c>
      <c r="D18" s="25">
        <f>+net_benefits_all!D18/1000000</f>
        <v>1432.92579055903</v>
      </c>
      <c r="E18" s="25">
        <f>+net_benefits_all!E18/1000000</f>
        <v>412.40411367656998</v>
      </c>
      <c r="F18" s="25">
        <f>+net_benefits_all!F18/1000000</f>
        <v>19312.306574190101</v>
      </c>
      <c r="G18" s="25">
        <f>+net_benefits_all!G18/1000000</f>
        <v>20245.9043845173</v>
      </c>
      <c r="H18" s="25">
        <f>+net_benefits_all!H18/1000000</f>
        <v>3716.0701421845497</v>
      </c>
      <c r="I18" s="25">
        <f>+net_benefits_all!I18/1000000</f>
        <v>2782.4723319359196</v>
      </c>
      <c r="J18" s="25">
        <f>+net_benefits_all!J18/1000000</f>
        <v>-201.56641030684702</v>
      </c>
      <c r="K18" s="25">
        <f>+net_benefits_all!K18/1000000</f>
        <v>933.59781032717501</v>
      </c>
      <c r="L18" s="25">
        <f>+net_benefits_all!L18/1000000</f>
        <v>-933.59781024863298</v>
      </c>
      <c r="M18" s="25">
        <f>+net_benefits_all!M18/1000000</f>
        <v>5725.7421947408602</v>
      </c>
      <c r="N18" s="25">
        <f>+net_benefits_all!N18/1000000</f>
        <v>2155.6858975164801</v>
      </c>
      <c r="O18" s="1" t="s">
        <v>0</v>
      </c>
    </row>
    <row r="19" spans="2:15" x14ac:dyDescent="0.2">
      <c r="B19" s="1" t="str">
        <f>+net_benefits_all!B19</f>
        <v>WUNI</v>
      </c>
      <c r="C19" s="25">
        <f>+net_benefits_all!C19/1000000</f>
        <v>5772.5428034720499</v>
      </c>
      <c r="D19" s="25">
        <f>+net_benefits_all!D19/1000000</f>
        <v>1570.3022201145402</v>
      </c>
      <c r="E19" s="25">
        <f>+net_benefits_all!E19/1000000</f>
        <v>351.69954653679901</v>
      </c>
      <c r="F19" s="25">
        <f>+net_benefits_all!F19/1000000</f>
        <v>18865.344839741403</v>
      </c>
      <c r="G19" s="25">
        <f>+net_benefits_all!G19/1000000</f>
        <v>19051.5127820415</v>
      </c>
      <c r="H19" s="25">
        <f>+net_benefits_all!H19/1000000</f>
        <v>3492.8373862529202</v>
      </c>
      <c r="I19" s="25">
        <f>+net_benefits_all!I19/1000000</f>
        <v>3279.6227420145401</v>
      </c>
      <c r="J19" s="25">
        <f>+net_benefits_all!J19/1000000</f>
        <v>-168.47352437330898</v>
      </c>
      <c r="K19" s="25">
        <f>+net_benefits_all!K19/1000000</f>
        <v>186.16794230009799</v>
      </c>
      <c r="L19" s="25">
        <f>+net_benefits_all!L19/1000000</f>
        <v>-213.214644238376</v>
      </c>
      <c r="M19" s="25">
        <f>+net_benefits_all!M19/1000000</f>
        <v>5775.4847236086598</v>
      </c>
      <c r="N19" s="25">
        <f>+net_benefits_all!N19/1000000</f>
        <v>1573.2441402511499</v>
      </c>
      <c r="O19" s="1" t="s">
        <v>0</v>
      </c>
    </row>
    <row r="20" spans="2:15" x14ac:dyDescent="0.2">
      <c r="B20" s="1" t="str">
        <f>+net_benefits_all!B20</f>
        <v>All</v>
      </c>
      <c r="C20" s="25">
        <f>+net_benefits_all!C20/1000000</f>
        <v>4575.10988689444</v>
      </c>
      <c r="D20" s="25">
        <f>+net_benefits_all!D20/1000000</f>
        <v>135.87286026874901</v>
      </c>
      <c r="E20" s="25">
        <f>+net_benefits_all!E20/1000000</f>
        <v>344.15009154361201</v>
      </c>
      <c r="F20" s="25">
        <f>+net_benefits_all!F20/1000000</f>
        <v>18729.431757168702</v>
      </c>
      <c r="G20" s="25">
        <f>+net_benefits_all!G20/1000000</f>
        <v>18874.340847511099</v>
      </c>
      <c r="H20" s="25">
        <f>+net_benefits_all!H20/1000000</f>
        <v>3492.8373862529202</v>
      </c>
      <c r="I20" s="25">
        <f>+net_benefits_all!I20/1000000</f>
        <v>3347.9282975852998</v>
      </c>
      <c r="J20" s="25">
        <f>+net_benefits_all!J20/1000000</f>
        <v>-149.67189242619801</v>
      </c>
      <c r="K20" s="25">
        <f>+net_benefits_all!K20/1000000</f>
        <v>144.909090342399</v>
      </c>
      <c r="L20" s="25">
        <f>+net_benefits_all!L20/1000000</f>
        <v>-144.909088667616</v>
      </c>
      <c r="M20" s="25">
        <f>+net_benefits_all!M20/1000000</f>
        <v>4525.5407781194199</v>
      </c>
      <c r="N20" s="25">
        <f>+net_benefits_all!N20/1000000</f>
        <v>86.303751493734893</v>
      </c>
      <c r="O20" s="1" t="s">
        <v>15</v>
      </c>
    </row>
    <row r="21" spans="2:15" x14ac:dyDescent="0.2">
      <c r="B21" s="1" t="str">
        <f>+net_benefits_all!B21</f>
        <v>All_Major_Capex_30_70</v>
      </c>
      <c r="C21" s="25">
        <f>+net_benefits_all!C21/1000000</f>
        <v>4276.5182806829698</v>
      </c>
      <c r="D21" s="25">
        <f>+net_benefits_all!D21/1000000</f>
        <v>-42.671190802165299</v>
      </c>
      <c r="E21" s="25">
        <f>+net_benefits_all!E21/1000000</f>
        <v>419.15352230181497</v>
      </c>
      <c r="F21" s="25">
        <f>+net_benefits_all!F21/1000000</f>
        <v>19312.306574190101</v>
      </c>
      <c r="G21" s="25">
        <f>+net_benefits_all!G21/1000000</f>
        <v>19774.096017263098</v>
      </c>
      <c r="H21" s="25">
        <f>+net_benefits_all!H21/1000000</f>
        <v>3716.0701421845497</v>
      </c>
      <c r="I21" s="25">
        <f>+net_benefits_all!I21/1000000</f>
        <v>3254.2807006408702</v>
      </c>
      <c r="J21" s="25">
        <f>+net_benefits_all!J21/1000000</f>
        <v>-201.52517896169098</v>
      </c>
      <c r="K21" s="25">
        <f>+net_benefits_all!K21/1000000</f>
        <v>461.789443072994</v>
      </c>
      <c r="L21" s="25">
        <f>+net_benefits_all!L21/1000000</f>
        <v>-461.78944154368105</v>
      </c>
      <c r="M21" s="25">
        <f>+net_benefits_all!M21/1000000</f>
        <v>4520.6793804158406</v>
      </c>
      <c r="N21" s="25">
        <f>+net_benefits_all!N21/1000000</f>
        <v>201.48990893070399</v>
      </c>
      <c r="O21" s="1" t="s">
        <v>15</v>
      </c>
    </row>
    <row r="22" spans="2:15" x14ac:dyDescent="0.2">
      <c r="B22" s="1" t="str">
        <f>+net_benefits_all!B22</f>
        <v>All_major_capex</v>
      </c>
      <c r="C22" s="25">
        <f>+net_benefits_all!C22/1000000</f>
        <v>4370.2516145323098</v>
      </c>
      <c r="D22" s="25">
        <f>+net_benefits_all!D22/1000000</f>
        <v>50.787566160272206</v>
      </c>
      <c r="E22" s="25">
        <f>+net_benefits_all!E22/1000000</f>
        <v>420.69589603789802</v>
      </c>
      <c r="F22" s="25">
        <f>+net_benefits_all!F22/1000000</f>
        <v>19312.306574190101</v>
      </c>
      <c r="G22" s="25">
        <f>+net_benefits_all!G22/1000000</f>
        <v>19680.546157073397</v>
      </c>
      <c r="H22" s="25">
        <f>+net_benefits_all!H22/1000000</f>
        <v>3716.0701421845497</v>
      </c>
      <c r="I22" s="25">
        <f>+net_benefits_all!I22/1000000</f>
        <v>3347.83056083056</v>
      </c>
      <c r="J22" s="25">
        <f>+net_benefits_all!J22/1000000</f>
        <v>-201.52188836770497</v>
      </c>
      <c r="K22" s="25">
        <f>+net_benefits_all!K22/1000000</f>
        <v>368.239582883293</v>
      </c>
      <c r="L22" s="25">
        <f>+net_benefits_all!L22/1000000</f>
        <v>-368.23958135398902</v>
      </c>
      <c r="M22" s="25">
        <f>+net_benefits_all!M22/1000000</f>
        <v>4519.3171897454104</v>
      </c>
      <c r="N22" s="25">
        <f>+net_benefits_all!N22/1000000</f>
        <v>199.85314137337301</v>
      </c>
      <c r="O22" s="1" t="s">
        <v>15</v>
      </c>
    </row>
    <row r="23" spans="2:15" x14ac:dyDescent="0.2">
      <c r="B23" s="1" t="str">
        <f>+net_benefits_all!B23</f>
        <v>All_major_capex_2024</v>
      </c>
      <c r="C23" s="25">
        <f>+net_benefits_all!C23/1000000</f>
        <v>4531.8319888692995</v>
      </c>
      <c r="D23" s="25">
        <f>+net_benefits_all!D23/1000000</f>
        <v>116.30920143552899</v>
      </c>
      <c r="E23" s="25">
        <f>+net_benefits_all!E23/1000000</f>
        <v>422.16954425417697</v>
      </c>
      <c r="F23" s="25">
        <f>+net_benefits_all!F23/1000000</f>
        <v>19312.306574190101</v>
      </c>
      <c r="G23" s="25">
        <f>+net_benefits_all!G23/1000000</f>
        <v>19607.362560787202</v>
      </c>
      <c r="H23" s="25">
        <f>+net_benefits_all!H23/1000000</f>
        <v>3716.0701421845497</v>
      </c>
      <c r="I23" s="25">
        <f>+net_benefits_all!I23/1000000</f>
        <v>3421.0141569935399</v>
      </c>
      <c r="J23" s="25">
        <f>+net_benefits_all!J23/1000000</f>
        <v>-201.53480651679999</v>
      </c>
      <c r="K23" s="25">
        <f>+net_benefits_all!K23/1000000</f>
        <v>295.055986597095</v>
      </c>
      <c r="L23" s="25">
        <f>+net_benefits_all!L23/1000000</f>
        <v>-295.055985191015</v>
      </c>
      <c r="M23" s="25">
        <f>+net_benefits_all!M23/1000000</f>
        <v>4606.2532377290199</v>
      </c>
      <c r="N23" s="25">
        <f>+net_benefits_all!N23/1000000</f>
        <v>190.73045029524698</v>
      </c>
      <c r="O23" s="1" t="s">
        <v>15</v>
      </c>
    </row>
    <row r="24" spans="2:15" x14ac:dyDescent="0.2">
      <c r="B24" s="1" t="str">
        <f>+net_benefits_all!B24</f>
        <v>All_major_capex_alternative</v>
      </c>
      <c r="C24" s="25">
        <f>+net_benefits_all!C24/1000000</f>
        <v>3229.0703852378201</v>
      </c>
      <c r="D24" s="25">
        <f>+net_benefits_all!D24/1000000</f>
        <v>320.56979173175699</v>
      </c>
      <c r="E24" s="25">
        <f>+net_benefits_all!E24/1000000</f>
        <v>341.91252746149598</v>
      </c>
      <c r="F24" s="25">
        <f>+net_benefits_all!F24/1000000</f>
        <v>19312.306574190101</v>
      </c>
      <c r="G24" s="25">
        <f>+net_benefits_all!G24/1000000</f>
        <v>19312.306574190101</v>
      </c>
      <c r="H24" s="25">
        <f>+net_benefits_all!H24/1000000</f>
        <v>3716.0701421845497</v>
      </c>
      <c r="I24" s="25">
        <f>+net_benefits_all!I24/1000000</f>
        <v>3716.0701421845497</v>
      </c>
      <c r="J24" s="25">
        <f>+net_benefits_all!J24/1000000</f>
        <v>-222.436517734126</v>
      </c>
      <c r="K24" s="25">
        <f>+net_benefits_all!K24/1000000</f>
        <v>-3.8146972656249998E-12</v>
      </c>
      <c r="L24" s="25">
        <f>+net_benefits_all!L24/1000000</f>
        <v>0</v>
      </c>
      <c r="M24" s="25">
        <f>+net_benefits_all!M24/1000000</f>
        <v>3109.5943755104499</v>
      </c>
      <c r="N24" s="25">
        <f>+net_benefits_all!N24/1000000</f>
        <v>201.093782004383</v>
      </c>
      <c r="O24" s="1" t="s">
        <v>15</v>
      </c>
    </row>
    <row r="25" spans="2:15" x14ac:dyDescent="0.2">
      <c r="B25" s="1" t="str">
        <f>+net_benefits_all!B25</f>
        <v>All_major_capex_gen_benefits</v>
      </c>
      <c r="C25" s="25">
        <f>+net_benefits_all!C25/1000000</f>
        <v>5531.4498985167802</v>
      </c>
      <c r="D25" s="25">
        <f>+net_benefits_all!D25/1000000</f>
        <v>707.55759934013611</v>
      </c>
      <c r="E25" s="25">
        <f>+net_benefits_all!E25/1000000</f>
        <v>446.81142398275796</v>
      </c>
      <c r="F25" s="25">
        <f>+net_benefits_all!F25/1000000</f>
        <v>19312.306574190101</v>
      </c>
      <c r="G25" s="25">
        <f>+net_benefits_all!G25/1000000</f>
        <v>19047.143635728098</v>
      </c>
      <c r="H25" s="25">
        <f>+net_benefits_all!H25/1000000</f>
        <v>3716.0701421845497</v>
      </c>
      <c r="I25" s="25">
        <f>+net_benefits_all!I25/1000000</f>
        <v>3981.2330821758801</v>
      </c>
      <c r="J25" s="25">
        <f>+net_benefits_all!J25/1000000</f>
        <v>-200.56951218087599</v>
      </c>
      <c r="K25" s="25">
        <f>+net_benefits_all!K25/1000000</f>
        <v>-265.16293846200904</v>
      </c>
      <c r="L25" s="25">
        <f>+net_benefits_all!L25/1000000</f>
        <v>265.16293999132102</v>
      </c>
      <c r="M25" s="25">
        <f>+net_benefits_all!M25/1000000</f>
        <v>5020.0450482528895</v>
      </c>
      <c r="N25" s="25">
        <f>+net_benefits_all!N25/1000000</f>
        <v>196.15274907624502</v>
      </c>
      <c r="O25" s="1" t="s">
        <v>15</v>
      </c>
    </row>
    <row r="26" spans="2:15" x14ac:dyDescent="0.2">
      <c r="B26" s="1" t="str">
        <f>+net_benefits_all!B26</f>
        <v>All_major_capex_tiwai_off</v>
      </c>
      <c r="C26" s="25">
        <f>+net_benefits_all!C26/1000000</f>
        <v>2216.7178800449601</v>
      </c>
      <c r="D26" s="25">
        <f>+net_benefits_all!D26/1000000</f>
        <v>82.957513079116708</v>
      </c>
      <c r="E26" s="25">
        <f>+net_benefits_all!E26/1000000</f>
        <v>90.921778239960403</v>
      </c>
      <c r="F26" s="25">
        <f>+net_benefits_all!F26/1000000</f>
        <v>19312.306574190101</v>
      </c>
      <c r="G26" s="25">
        <f>+net_benefits_all!G26/1000000</f>
        <v>19683.706291797</v>
      </c>
      <c r="H26" s="25">
        <f>+net_benefits_all!H26/1000000</f>
        <v>3716.0701421845497</v>
      </c>
      <c r="I26" s="25">
        <f>+net_benefits_all!I26/1000000</f>
        <v>3344.6704261069999</v>
      </c>
      <c r="J26" s="25">
        <f>+net_benefits_all!J26/1000000</f>
        <v>-215.54167005259799</v>
      </c>
      <c r="K26" s="25">
        <f>+net_benefits_all!K26/1000000</f>
        <v>371.399717606857</v>
      </c>
      <c r="L26" s="25">
        <f>+net_benefits_all!L26/1000000</f>
        <v>-371.39971607755103</v>
      </c>
      <c r="M26" s="25">
        <f>+net_benefits_all!M26/1000000</f>
        <v>2712.7374894644599</v>
      </c>
      <c r="N26" s="25">
        <f>+net_benefits_all!N26/1000000</f>
        <v>578.97712249861206</v>
      </c>
      <c r="O26" s="1" t="s">
        <v>15</v>
      </c>
    </row>
    <row r="27" spans="2:15" x14ac:dyDescent="0.2">
      <c r="B27" s="1" t="str">
        <f>+net_benefits_all!B27</f>
        <v>Demand</v>
      </c>
      <c r="C27" s="25">
        <f>+net_benefits_all!C27/1000000</f>
        <v>-198.535834479301</v>
      </c>
      <c r="D27" s="25">
        <f>+net_benefits_all!D27/1000000</f>
        <v>-200.53537002986198</v>
      </c>
      <c r="E27" s="25">
        <f>+net_benefits_all!E27/1000000</f>
        <v>56.5447051251586</v>
      </c>
      <c r="F27" s="25">
        <f>+net_benefits_all!F27/1000000</f>
        <v>18729.431757168702</v>
      </c>
      <c r="G27" s="25">
        <f>+net_benefits_all!G27/1000000</f>
        <v>18964.322227948003</v>
      </c>
      <c r="H27" s="25">
        <f>+net_benefits_all!H27/1000000</f>
        <v>3492.8373862529202</v>
      </c>
      <c r="I27" s="25">
        <f>+net_benefits_all!I27/1000000</f>
        <v>3257.9469169700196</v>
      </c>
      <c r="J27" s="25">
        <f>+net_benefits_all!J27/1000000</f>
        <v>0</v>
      </c>
      <c r="K27" s="25">
        <f>+net_benefits_all!K27/1000000</f>
        <v>234.890470779304</v>
      </c>
      <c r="L27" s="25">
        <f>+net_benefits_all!L27/1000000</f>
        <v>-234.8904692829</v>
      </c>
      <c r="M27" s="25">
        <f>+net_benefits_all!M27/1000000</f>
        <v>-20.190068825155898</v>
      </c>
      <c r="N27" s="25">
        <f>+net_benefits_all!N27/1000000</f>
        <v>-22.189604375716499</v>
      </c>
      <c r="O27" s="1" t="s">
        <v>15</v>
      </c>
    </row>
    <row r="28" spans="2:15" x14ac:dyDescent="0.2">
      <c r="B28" s="1" t="str">
        <f>+net_benefits_all!B28</f>
        <v>Demand_and_DG_investment</v>
      </c>
      <c r="C28" s="25">
        <f>+net_benefits_all!C28/1000000</f>
        <v>19.203879748406802</v>
      </c>
      <c r="D28" s="25">
        <f>+net_benefits_all!D28/1000000</f>
        <v>23.711879025813801</v>
      </c>
      <c r="E28" s="25">
        <f>+net_benefits_all!E28/1000000</f>
        <v>341.63522645485301</v>
      </c>
      <c r="F28" s="25">
        <f>+net_benefits_all!F28/1000000</f>
        <v>18729.431757168702</v>
      </c>
      <c r="G28" s="25">
        <f>+net_benefits_all!G28/1000000</f>
        <v>18964.322227948003</v>
      </c>
      <c r="H28" s="25">
        <f>+net_benefits_all!H28/1000000</f>
        <v>3492.8373862529202</v>
      </c>
      <c r="I28" s="25">
        <f>+net_benefits_all!I28/1000000</f>
        <v>3257.9469169700196</v>
      </c>
      <c r="J28" s="25">
        <f>+net_benefits_all!J28/1000000</f>
        <v>-200.54117376756099</v>
      </c>
      <c r="K28" s="25">
        <f>+net_benefits_all!K28/1000000</f>
        <v>234.890470779308</v>
      </c>
      <c r="L28" s="25">
        <f>+net_benefits_all!L28/1000000</f>
        <v>-234.8904692829</v>
      </c>
      <c r="M28" s="25">
        <f>+net_benefits_all!M28/1000000</f>
        <v>113.000297840423</v>
      </c>
      <c r="N28" s="25">
        <f>+net_benefits_all!N28/1000000</f>
        <v>117.50829711783</v>
      </c>
      <c r="O28" s="1" t="s">
        <v>15</v>
      </c>
    </row>
    <row r="29" spans="2:15" x14ac:dyDescent="0.2">
      <c r="B29" s="1" t="str">
        <f>+net_benefits_all!B29</f>
        <v>Demand_and_gen_investment</v>
      </c>
      <c r="C29" s="25">
        <f>+net_benefits_all!C29/1000000</f>
        <v>1190.7928160415202</v>
      </c>
      <c r="D29" s="25">
        <f>+net_benefits_all!D29/1000000</f>
        <v>-126.529691485009</v>
      </c>
      <c r="E29" s="25">
        <f>+net_benefits_all!E29/1000000</f>
        <v>117.906910566329</v>
      </c>
      <c r="F29" s="25">
        <f>+net_benefits_all!F29/1000000</f>
        <v>18729.431757168702</v>
      </c>
      <c r="G29" s="25">
        <f>+net_benefits_all!G29/1000000</f>
        <v>18944.379074649798</v>
      </c>
      <c r="H29" s="25">
        <f>+net_benefits_all!H29/1000000</f>
        <v>3492.8373862529202</v>
      </c>
      <c r="I29" s="25">
        <f>+net_benefits_all!I29/1000000</f>
        <v>3277.8900702682199</v>
      </c>
      <c r="J29" s="25">
        <f>+net_benefits_all!J29/1000000</f>
        <v>0</v>
      </c>
      <c r="K29" s="25">
        <f>+net_benefits_all!K29/1000000</f>
        <v>214.947317481098</v>
      </c>
      <c r="L29" s="25">
        <f>+net_benefits_all!L29/1000000</f>
        <v>-214.94731598469201</v>
      </c>
      <c r="M29" s="25">
        <f>+net_benefits_all!M29/1000000</f>
        <v>1287.83322295629</v>
      </c>
      <c r="N29" s="25">
        <f>+net_benefits_all!N29/1000000</f>
        <v>-29.4892845702405</v>
      </c>
      <c r="O29" s="1" t="s">
        <v>15</v>
      </c>
    </row>
    <row r="30" spans="2:15" x14ac:dyDescent="0.2">
      <c r="B30" s="1" t="str">
        <f>+net_benefits_all!B30</f>
        <v>Demand_major_capex</v>
      </c>
      <c r="C30" s="25">
        <f>+net_benefits_all!C30/1000000</f>
        <v>-312.11058885889099</v>
      </c>
      <c r="D30" s="25">
        <f>+net_benefits_all!D30/1000000</f>
        <v>-316.24598159732</v>
      </c>
      <c r="E30" s="25">
        <f>+net_benefits_all!E30/1000000</f>
        <v>66.702996369459498</v>
      </c>
      <c r="F30" s="25">
        <f>+net_benefits_all!F30/1000000</f>
        <v>19312.306574190101</v>
      </c>
      <c r="G30" s="25">
        <f>+net_benefits_all!G30/1000000</f>
        <v>19709.565977557799</v>
      </c>
      <c r="H30" s="25">
        <f>+net_benefits_all!H30/1000000</f>
        <v>3716.0701421845597</v>
      </c>
      <c r="I30" s="25">
        <f>+net_benefits_all!I30/1000000</f>
        <v>3318.81074034622</v>
      </c>
      <c r="J30" s="25">
        <f>+net_benefits_all!J30/1000000</f>
        <v>0</v>
      </c>
      <c r="K30" s="25">
        <f>+net_benefits_all!K30/1000000</f>
        <v>397.25940336764097</v>
      </c>
      <c r="L30" s="25">
        <f>+net_benefits_all!L30/1000000</f>
        <v>-397.259401838332</v>
      </c>
      <c r="M30" s="25">
        <f>+net_benefits_all!M30/1000000</f>
        <v>18.445818139290601</v>
      </c>
      <c r="N30" s="25">
        <f>+net_benefits_all!N30/1000000</f>
        <v>14.3104254008616</v>
      </c>
      <c r="O30" s="1" t="s">
        <v>15</v>
      </c>
    </row>
    <row r="31" spans="2:15" x14ac:dyDescent="0.2">
      <c r="B31" s="1" t="str">
        <f>+net_benefits_all!B31</f>
        <v>Demand_no_aob_on_existing</v>
      </c>
      <c r="C31" s="25">
        <f>+net_benefits_all!C31/1000000</f>
        <v>-768.57547822665299</v>
      </c>
      <c r="D31" s="25">
        <f>+net_benefits_all!D31/1000000</f>
        <v>-775.77712167704999</v>
      </c>
      <c r="E31" s="25">
        <f>+net_benefits_all!E31/1000000</f>
        <v>54.260169575154301</v>
      </c>
      <c r="F31" s="25">
        <f>+net_benefits_all!F31/1000000</f>
        <v>18729.431757168702</v>
      </c>
      <c r="G31" s="25">
        <f>+net_benefits_all!G31/1000000</f>
        <v>19530.756014136299</v>
      </c>
      <c r="H31" s="25">
        <f>+net_benefits_all!H31/1000000</f>
        <v>3492.8373862529202</v>
      </c>
      <c r="I31" s="25">
        <f>+net_benefits_all!I31/1000000</f>
        <v>2691.5131293309596</v>
      </c>
      <c r="J31" s="25">
        <f>+net_benefits_all!J31/1000000</f>
        <v>0</v>
      </c>
      <c r="K31" s="25">
        <f>+net_benefits_all!K31/1000000</f>
        <v>801.32425696758196</v>
      </c>
      <c r="L31" s="25">
        <f>+net_benefits_all!L31/1000000</f>
        <v>-801.32425692195795</v>
      </c>
      <c r="M31" s="25">
        <f>+net_benefits_all!M31/1000000</f>
        <v>-21.511390834225402</v>
      </c>
      <c r="N31" s="25">
        <f>+net_benefits_all!N31/1000000</f>
        <v>-28.713034284622402</v>
      </c>
      <c r="O31" s="1" t="s">
        <v>15</v>
      </c>
    </row>
    <row r="32" spans="2:15" x14ac:dyDescent="0.2">
      <c r="B32" s="1" t="str">
        <f>+net_benefits_all!B32</f>
        <v>MWh_Demand_major_capex</v>
      </c>
      <c r="C32" s="25">
        <f>+net_benefits_all!C32/1000000</f>
        <v>4.7697503784764992</v>
      </c>
      <c r="D32" s="25">
        <f>+net_benefits_all!D32/1000000</f>
        <v>4.0529253280545499</v>
      </c>
      <c r="E32" s="25">
        <f>+net_benefits_all!E32/1000000</f>
        <v>8.0042401789675193</v>
      </c>
      <c r="F32" s="25">
        <f>+net_benefits_all!F32/1000000</f>
        <v>19312.306574190101</v>
      </c>
      <c r="G32" s="25">
        <f>+net_benefits_all!G32/1000000</f>
        <v>19312.306574190101</v>
      </c>
      <c r="H32" s="25">
        <f>+net_benefits_all!H32/1000000</f>
        <v>3716.0701421845597</v>
      </c>
      <c r="I32" s="25">
        <f>+net_benefits_all!I32/1000000</f>
        <v>3716.0701421845597</v>
      </c>
      <c r="J32" s="25">
        <f>+net_benefits_all!J32/1000000</f>
        <v>0</v>
      </c>
      <c r="K32" s="25">
        <f>+net_benefits_all!K32/1000000</f>
        <v>0</v>
      </c>
      <c r="L32" s="25">
        <f>+net_benefits_all!L32/1000000</f>
        <v>-1.43051147460937E-12</v>
      </c>
      <c r="M32" s="25">
        <f>+net_benefits_all!M32/1000000</f>
        <v>-3.2344898004910201</v>
      </c>
      <c r="N32" s="25">
        <f>+net_benefits_all!N32/1000000</f>
        <v>-3.9513148509129596</v>
      </c>
      <c r="O32" s="1" t="s">
        <v>15</v>
      </c>
    </row>
    <row r="33" spans="2:15" x14ac:dyDescent="0.2">
      <c r="B33" s="1" t="str">
        <f>+net_benefits_all!B33</f>
        <v>No_AoB_on_existing</v>
      </c>
      <c r="C33" s="25">
        <f>+net_benefits_all!C33/1000000</f>
        <v>3832.2586854168503</v>
      </c>
      <c r="D33" s="25">
        <f>+net_benefits_all!D33/1000000</f>
        <v>-526.28251091723098</v>
      </c>
      <c r="E33" s="25">
        <f>+net_benefits_all!E33/1000000</f>
        <v>412.40411367656998</v>
      </c>
      <c r="F33" s="25">
        <f>+net_benefits_all!F33/1000000</f>
        <v>19312.306574190101</v>
      </c>
      <c r="G33" s="25">
        <f>+net_benefits_all!G33/1000000</f>
        <v>20245.9043845173</v>
      </c>
      <c r="H33" s="25">
        <f>+net_benefits_all!H33/1000000</f>
        <v>3716.0701421845497</v>
      </c>
      <c r="I33" s="25">
        <f>+net_benefits_all!I33/1000000</f>
        <v>2782.4723319359196</v>
      </c>
      <c r="J33" s="25">
        <f>+net_benefits_all!J33/1000000</f>
        <v>-201.56641030684702</v>
      </c>
      <c r="K33" s="25">
        <f>+net_benefits_all!K33/1000000</f>
        <v>933.59781032717501</v>
      </c>
      <c r="L33" s="25">
        <f>+net_benefits_all!L33/1000000</f>
        <v>-933.59781024863298</v>
      </c>
      <c r="M33" s="25">
        <f>+net_benefits_all!M33/1000000</f>
        <v>4555.0187923742997</v>
      </c>
      <c r="N33" s="25">
        <f>+net_benefits_all!N33/1000000</f>
        <v>196.47759604022102</v>
      </c>
      <c r="O33" s="1" t="s">
        <v>15</v>
      </c>
    </row>
    <row r="34" spans="2:15" x14ac:dyDescent="0.2">
      <c r="B34" s="3" t="str">
        <f>+net_benefits_all!B34</f>
        <v>WUNI</v>
      </c>
      <c r="C34" s="73">
        <f>+net_benefits_all!C34/1000000</f>
        <v>4834.3275500255204</v>
      </c>
      <c r="D34" s="73">
        <f>+net_benefits_all!D34/1000000</f>
        <v>135.76483614491002</v>
      </c>
      <c r="E34" s="73">
        <f>+net_benefits_all!E34/1000000</f>
        <v>351.69954653679901</v>
      </c>
      <c r="F34" s="73">
        <f>+net_benefits_all!F34/1000000</f>
        <v>18865.344839741403</v>
      </c>
      <c r="G34" s="73">
        <f>+net_benefits_all!G34/1000000</f>
        <v>19051.5127820415</v>
      </c>
      <c r="H34" s="73">
        <f>+net_benefits_all!H34/1000000</f>
        <v>3492.8373862529202</v>
      </c>
      <c r="I34" s="73">
        <f>+net_benefits_all!I34/1000000</f>
        <v>3279.6227420145401</v>
      </c>
      <c r="J34" s="73">
        <f>+net_benefits_all!J34/1000000</f>
        <v>-168.47352437330898</v>
      </c>
      <c r="K34" s="73">
        <f>+net_benefits_all!K34/1000000</f>
        <v>186.16794230009799</v>
      </c>
      <c r="L34" s="73">
        <f>+net_benefits_all!L34/1000000</f>
        <v>-213.214644238376</v>
      </c>
      <c r="M34" s="73">
        <f>+net_benefits_all!M34/1000000</f>
        <v>4837.2694701621303</v>
      </c>
      <c r="N34" s="73">
        <f>+net_benefits_all!N34/1000000</f>
        <v>138.70675628151901</v>
      </c>
      <c r="O34" s="3"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Summary table with ranges</vt:lpstr>
      <vt:lpstr>Range information for table</vt:lpstr>
      <vt:lpstr>Transmission cost adjustment</vt:lpstr>
      <vt:lpstr>Summary grid use model</vt:lpstr>
      <vt:lpstr>Investment efficiencies</vt:lpstr>
      <vt:lpstr>Summary_working</vt:lpstr>
      <vt:lpstr>net_benefits CS $m </vt:lpstr>
      <vt:lpstr>net_benefits CV $m  </vt:lpstr>
      <vt:lpstr>net_benefits_all $m</vt:lpstr>
      <vt:lpstr>net_benefits_all</vt:lpstr>
      <vt:lpstr>Costs</vt:lpstr>
      <vt:lpstr>Summary sensitivities</vt:lpstr>
      <vt:lpstr>Battery sensitivities</vt:lpstr>
      <vt:lpstr>Sensitivities</vt:lpstr>
      <vt:lpstr>Costs!_ftn1</vt:lpstr>
      <vt:lpstr>Costs!_ftnref1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Stephenson</dc:creator>
  <cp:lastModifiedBy>Jean-Pierre de Raad</cp:lastModifiedBy>
  <dcterms:created xsi:type="dcterms:W3CDTF">2019-05-16T18:29:08Z</dcterms:created>
  <dcterms:modified xsi:type="dcterms:W3CDTF">2019-07-18T22:23:23Z</dcterms:modified>
</cp:coreProperties>
</file>