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ot\Dropbox (Sense.)\2018-19 EA TPM CBA (Shared)\Step 4\CBA files for release\Grid use model\Parameter estimates\"/>
    </mc:Choice>
  </mc:AlternateContent>
  <xr:revisionPtr revIDLastSave="0" documentId="13_ncr:1_{86E364B2-70A3-4043-A628-86D35234860D}" xr6:coauthVersionLast="43" xr6:coauthVersionMax="43" xr10:uidLastSave="{00000000-0000-0000-0000-000000000000}"/>
  <bookViews>
    <workbookView xWindow="28680" yWindow="-120" windowWidth="29040" windowHeight="17025" xr2:uid="{3D0DC606-C59A-4659-A4E4-2C98FE77C5E8}"/>
  </bookViews>
  <sheets>
    <sheet name="Battery assumptions - AoB model" sheetId="19" r:id="rId1"/>
    <sheet name="RCPD probability by hour" sheetId="17" r:id="rId2"/>
    <sheet name="RCPD probability by month" sheetId="1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9" i="19" l="1"/>
  <c r="C97" i="19"/>
  <c r="C98" i="19"/>
  <c r="C79" i="19"/>
  <c r="E27" i="19" l="1"/>
  <c r="E97" i="19" l="1"/>
  <c r="E101" i="19"/>
  <c r="E100" i="19"/>
  <c r="E98" i="19"/>
  <c r="E28" i="19"/>
  <c r="E31" i="19"/>
  <c r="C84" i="19" l="1"/>
  <c r="C91" i="19"/>
  <c r="C48" i="19"/>
  <c r="C20" i="19" l="1"/>
  <c r="L20" i="18"/>
  <c r="H20" i="18"/>
  <c r="H23" i="18"/>
  <c r="J23" i="18"/>
  <c r="J20" i="18"/>
  <c r="I23" i="18"/>
  <c r="I20" i="18"/>
  <c r="G23" i="18"/>
  <c r="G20" i="18"/>
  <c r="F21" i="18"/>
  <c r="F22" i="18"/>
  <c r="F23" i="18"/>
  <c r="F24" i="18"/>
  <c r="F25" i="18"/>
  <c r="F20" i="18"/>
  <c r="C31" i="18"/>
  <c r="E31" i="18"/>
  <c r="C18" i="19"/>
  <c r="C30" i="19" l="1"/>
  <c r="B108" i="19"/>
  <c r="C82" i="19"/>
  <c r="C37" i="18"/>
  <c r="C31" i="19" l="1"/>
  <c r="C28" i="19"/>
  <c r="C61" i="19"/>
  <c r="C10" i="17"/>
  <c r="C47" i="19"/>
  <c r="D10" i="17"/>
  <c r="E10" i="17"/>
  <c r="F10" i="17"/>
  <c r="G10" i="17"/>
  <c r="G9" i="17"/>
  <c r="D9" i="17"/>
  <c r="E9" i="17"/>
  <c r="F9" i="17"/>
  <c r="D8" i="17"/>
  <c r="F8" i="17"/>
  <c r="C8" i="17"/>
  <c r="C9" i="17"/>
  <c r="X16" i="17"/>
  <c r="X17" i="17" s="1"/>
  <c r="Y16" i="17"/>
  <c r="Z16" i="17"/>
  <c r="Y17" i="17"/>
  <c r="Z17" i="17"/>
  <c r="W17" i="17"/>
  <c r="W18" i="17" s="1"/>
  <c r="W16" i="17"/>
  <c r="G28" i="17" l="1"/>
  <c r="C49" i="19" l="1"/>
  <c r="AW3" i="19"/>
  <c r="AW5" i="19"/>
  <c r="C35" i="18" l="1"/>
  <c r="C64" i="19"/>
  <c r="C33" i="18"/>
  <c r="D32" i="18"/>
  <c r="D33" i="18" s="1"/>
  <c r="D31" i="18"/>
  <c r="C32" i="18"/>
  <c r="C70" i="19"/>
  <c r="C54" i="19"/>
  <c r="C6" i="17"/>
  <c r="U16" i="17"/>
  <c r="U17" i="17" s="1"/>
  <c r="V16" i="17"/>
  <c r="V17" i="17" s="1"/>
  <c r="T16" i="17"/>
  <c r="T17" i="17" s="1"/>
  <c r="S16" i="17"/>
  <c r="S17" i="17" s="1"/>
  <c r="S18" i="17" s="1"/>
  <c r="O30" i="17"/>
  <c r="O16" i="17"/>
  <c r="P16" i="17"/>
  <c r="Q16" i="17"/>
  <c r="R16" i="17"/>
  <c r="O17" i="17"/>
  <c r="P17" i="17"/>
  <c r="Q17" i="17"/>
  <c r="R17" i="17"/>
  <c r="O18" i="17"/>
  <c r="P18" i="17"/>
  <c r="Q18" i="17"/>
  <c r="R18" i="17"/>
  <c r="O19" i="17"/>
  <c r="P19" i="17"/>
  <c r="Q19" i="17"/>
  <c r="R19" i="17"/>
  <c r="O20" i="17"/>
  <c r="P20" i="17"/>
  <c r="Q20" i="17"/>
  <c r="R20" i="17"/>
  <c r="O21" i="17"/>
  <c r="P21" i="17"/>
  <c r="Q21" i="17"/>
  <c r="R21" i="17"/>
  <c r="O22" i="17"/>
  <c r="P22" i="17"/>
  <c r="Q22" i="17"/>
  <c r="R22" i="17"/>
  <c r="O23" i="17"/>
  <c r="P23" i="17"/>
  <c r="Q23" i="17"/>
  <c r="R23" i="17"/>
  <c r="O24" i="17"/>
  <c r="P24" i="17"/>
  <c r="Q24" i="17"/>
  <c r="R24" i="17"/>
  <c r="O25" i="17"/>
  <c r="P25" i="17"/>
  <c r="Q25" i="17"/>
  <c r="R25" i="17"/>
  <c r="O26" i="17"/>
  <c r="P26" i="17"/>
  <c r="Q26" i="17"/>
  <c r="R26" i="17"/>
  <c r="O27" i="17"/>
  <c r="P27" i="17"/>
  <c r="Q27" i="17"/>
  <c r="R27" i="17"/>
  <c r="O28" i="17"/>
  <c r="P28" i="17"/>
  <c r="Q28" i="17"/>
  <c r="R28" i="17"/>
  <c r="O29" i="17"/>
  <c r="P29" i="17"/>
  <c r="Q29" i="17"/>
  <c r="R29" i="17"/>
  <c r="P30" i="17"/>
  <c r="Q30" i="17"/>
  <c r="R30" i="17"/>
  <c r="O31" i="17"/>
  <c r="P31" i="17"/>
  <c r="Q31" i="17"/>
  <c r="R31" i="17"/>
  <c r="O32" i="17"/>
  <c r="P32" i="17"/>
  <c r="Q32" i="17"/>
  <c r="R32" i="17"/>
  <c r="O33" i="17"/>
  <c r="P33" i="17"/>
  <c r="Q33" i="17"/>
  <c r="R33" i="17"/>
  <c r="O34" i="17"/>
  <c r="P34" i="17"/>
  <c r="Q34" i="17"/>
  <c r="R34" i="17"/>
  <c r="O35" i="17"/>
  <c r="P35" i="17"/>
  <c r="Q35" i="17"/>
  <c r="R35" i="17"/>
  <c r="O36" i="17"/>
  <c r="P36" i="17"/>
  <c r="Q36" i="17"/>
  <c r="R36" i="17"/>
  <c r="O37" i="17"/>
  <c r="P37" i="17"/>
  <c r="Q37" i="17"/>
  <c r="R37" i="17"/>
  <c r="O38" i="17"/>
  <c r="P38" i="17"/>
  <c r="Q38" i="17"/>
  <c r="R38" i="17"/>
  <c r="O39" i="17"/>
  <c r="P39" i="17"/>
  <c r="Q39" i="17"/>
  <c r="R39" i="17"/>
  <c r="O40" i="17"/>
  <c r="P40" i="17"/>
  <c r="Q40" i="17"/>
  <c r="R40" i="17"/>
  <c r="O41" i="17"/>
  <c r="P41" i="17"/>
  <c r="R41" i="17"/>
  <c r="O42" i="17"/>
  <c r="P42" i="17"/>
  <c r="R42" i="17"/>
  <c r="O43" i="17"/>
  <c r="P43" i="17"/>
  <c r="R43" i="17"/>
  <c r="O44" i="17"/>
  <c r="P44" i="17"/>
  <c r="R44" i="17"/>
  <c r="O45" i="17"/>
  <c r="P45" i="17"/>
  <c r="R45" i="17"/>
  <c r="O46" i="17"/>
  <c r="P46" i="17"/>
  <c r="R46" i="17"/>
  <c r="O47" i="17"/>
  <c r="P47" i="17"/>
  <c r="R47" i="17"/>
  <c r="O48" i="17"/>
  <c r="P48" i="17"/>
  <c r="Q48" i="17"/>
  <c r="R48" i="17"/>
  <c r="O49" i="17"/>
  <c r="P49" i="17"/>
  <c r="Q49" i="17"/>
  <c r="R49" i="17"/>
  <c r="O50" i="17"/>
  <c r="P50" i="17"/>
  <c r="Q50" i="17"/>
  <c r="R50" i="17"/>
  <c r="O51" i="17"/>
  <c r="P51" i="17"/>
  <c r="Q51" i="17"/>
  <c r="R51" i="17"/>
  <c r="O52" i="17"/>
  <c r="P52" i="17"/>
  <c r="Q52" i="17"/>
  <c r="R52" i="17"/>
  <c r="O53" i="17"/>
  <c r="P53" i="17"/>
  <c r="Q53" i="17"/>
  <c r="R53" i="17"/>
  <c r="O54" i="17"/>
  <c r="P54" i="17"/>
  <c r="Q54" i="17"/>
  <c r="R54" i="17"/>
  <c r="O55" i="17"/>
  <c r="P55" i="17"/>
  <c r="Q55" i="17"/>
  <c r="R55" i="17"/>
  <c r="O56" i="17"/>
  <c r="P56" i="17"/>
  <c r="Q56" i="17"/>
  <c r="R56" i="17"/>
  <c r="O57" i="17"/>
  <c r="P57" i="17"/>
  <c r="Q57" i="17"/>
  <c r="R57" i="17"/>
  <c r="O58" i="17"/>
  <c r="P58" i="17"/>
  <c r="Q58" i="17"/>
  <c r="R58" i="17"/>
  <c r="O59" i="17"/>
  <c r="P59" i="17"/>
  <c r="Q59" i="17"/>
  <c r="R59" i="17"/>
  <c r="O60" i="17"/>
  <c r="P60" i="17"/>
  <c r="Q60" i="17"/>
  <c r="R60" i="17"/>
  <c r="O61" i="17"/>
  <c r="P61" i="17"/>
  <c r="Q61" i="17"/>
  <c r="R61" i="17"/>
  <c r="O62" i="17"/>
  <c r="P62" i="17"/>
  <c r="Q62" i="17"/>
  <c r="R62" i="17"/>
  <c r="O63" i="17"/>
  <c r="P63" i="17"/>
  <c r="Q63" i="17"/>
  <c r="R63" i="17"/>
  <c r="P15" i="17"/>
  <c r="Q15" i="17"/>
  <c r="R15" i="17"/>
  <c r="O15" i="17"/>
  <c r="C66" i="19" l="1"/>
  <c r="C67" i="19" s="1"/>
  <c r="C68" i="19" s="1"/>
  <c r="T18" i="17"/>
  <c r="X18" i="17"/>
  <c r="V18" i="17"/>
  <c r="Z18" i="17"/>
  <c r="U18" i="17"/>
  <c r="Y18" i="17"/>
  <c r="S19" i="17"/>
  <c r="W19" i="17"/>
  <c r="T19" i="17" l="1"/>
  <c r="X19" i="17"/>
  <c r="U19" i="17"/>
  <c r="Y19" i="17"/>
  <c r="V19" i="17"/>
  <c r="Z19" i="17"/>
  <c r="S20" i="17"/>
  <c r="W20" i="17"/>
  <c r="T20" i="17" l="1"/>
  <c r="X20" i="17"/>
  <c r="V20" i="17"/>
  <c r="Z20" i="17"/>
  <c r="U20" i="17"/>
  <c r="Y20" i="17"/>
  <c r="S21" i="17"/>
  <c r="W21" i="17"/>
  <c r="V21" i="17" l="1"/>
  <c r="Z21" i="17"/>
  <c r="U21" i="17"/>
  <c r="Y21" i="17"/>
  <c r="T21" i="17"/>
  <c r="X21" i="17"/>
  <c r="S22" i="17"/>
  <c r="W22" i="17"/>
  <c r="T22" i="17" l="1"/>
  <c r="X22" i="17"/>
  <c r="U22" i="17"/>
  <c r="Y22" i="17"/>
  <c r="V22" i="17"/>
  <c r="Z22" i="17"/>
  <c r="S23" i="17"/>
  <c r="W23" i="17"/>
  <c r="V23" i="17" l="1"/>
  <c r="Z23" i="17"/>
  <c r="U23" i="17"/>
  <c r="Y23" i="17"/>
  <c r="T23" i="17"/>
  <c r="X23" i="17"/>
  <c r="S24" i="17"/>
  <c r="W24" i="17"/>
  <c r="T24" i="17" l="1"/>
  <c r="X24" i="17"/>
  <c r="U24" i="17"/>
  <c r="Y24" i="17"/>
  <c r="V24" i="17"/>
  <c r="Z24" i="17"/>
  <c r="S25" i="17"/>
  <c r="W25" i="17"/>
  <c r="T25" i="17" l="1"/>
  <c r="X25" i="17"/>
  <c r="V25" i="17"/>
  <c r="Z25" i="17"/>
  <c r="U25" i="17"/>
  <c r="Y25" i="17"/>
  <c r="S26" i="17"/>
  <c r="W26" i="17"/>
  <c r="T26" i="17" l="1"/>
  <c r="X26" i="17"/>
  <c r="U26" i="17"/>
  <c r="Y26" i="17"/>
  <c r="V26" i="17"/>
  <c r="Z26" i="17"/>
  <c r="S27" i="17"/>
  <c r="W27" i="17"/>
  <c r="V27" i="17" l="1"/>
  <c r="Z27" i="17"/>
  <c r="T27" i="17"/>
  <c r="X27" i="17"/>
  <c r="U27" i="17"/>
  <c r="Y27" i="17"/>
  <c r="S28" i="17"/>
  <c r="W28" i="17"/>
  <c r="U28" i="17" l="1"/>
  <c r="Y28" i="17"/>
  <c r="V28" i="17"/>
  <c r="Z28" i="17"/>
  <c r="T28" i="17"/>
  <c r="X28" i="17"/>
  <c r="S29" i="17"/>
  <c r="W29" i="17"/>
  <c r="C12" i="19"/>
  <c r="C13" i="19" s="1"/>
  <c r="L15" i="18"/>
  <c r="M15" i="18"/>
  <c r="N15" i="18"/>
  <c r="K15" i="18"/>
  <c r="H3" i="18"/>
  <c r="I3" i="18"/>
  <c r="J3" i="18"/>
  <c r="H4" i="18"/>
  <c r="I4" i="18"/>
  <c r="J4" i="18"/>
  <c r="H5" i="18"/>
  <c r="I5" i="18"/>
  <c r="J5" i="18"/>
  <c r="H6" i="18"/>
  <c r="I6" i="18"/>
  <c r="J6" i="18"/>
  <c r="H7" i="18"/>
  <c r="I7" i="18"/>
  <c r="J7" i="18"/>
  <c r="H8" i="18"/>
  <c r="I8" i="18"/>
  <c r="J8" i="18"/>
  <c r="H9" i="18"/>
  <c r="I9" i="18"/>
  <c r="J9" i="18"/>
  <c r="H10" i="18"/>
  <c r="I10" i="18"/>
  <c r="J10" i="18"/>
  <c r="H11" i="18"/>
  <c r="I11" i="18"/>
  <c r="J11" i="18"/>
  <c r="H12" i="18"/>
  <c r="I12" i="18"/>
  <c r="J12" i="18"/>
  <c r="H13" i="18"/>
  <c r="I13" i="18"/>
  <c r="J13" i="18"/>
  <c r="H14" i="18"/>
  <c r="I14" i="18"/>
  <c r="J14" i="18"/>
  <c r="H15" i="18"/>
  <c r="I15" i="18"/>
  <c r="J15" i="18"/>
  <c r="G4" i="18"/>
  <c r="G5" i="18"/>
  <c r="G6" i="18"/>
  <c r="G7" i="18"/>
  <c r="G8" i="18"/>
  <c r="G9" i="18"/>
  <c r="G10" i="18"/>
  <c r="G11" i="18"/>
  <c r="G12" i="18"/>
  <c r="G13" i="18"/>
  <c r="G14" i="18"/>
  <c r="G15" i="18"/>
  <c r="G3" i="18"/>
  <c r="D6" i="17"/>
  <c r="F6" i="17"/>
  <c r="Q44" i="17"/>
  <c r="Q41" i="17"/>
  <c r="G16" i="17"/>
  <c r="H16" i="17"/>
  <c r="I16" i="17"/>
  <c r="J16" i="17"/>
  <c r="G17" i="17"/>
  <c r="H17" i="17"/>
  <c r="I17" i="17"/>
  <c r="J17" i="17"/>
  <c r="G18" i="17"/>
  <c r="H18" i="17"/>
  <c r="I18" i="17"/>
  <c r="J18" i="17"/>
  <c r="G19" i="17"/>
  <c r="H19" i="17"/>
  <c r="I19" i="17"/>
  <c r="J19" i="17"/>
  <c r="G20" i="17"/>
  <c r="H20" i="17"/>
  <c r="I20" i="17"/>
  <c r="J20" i="17"/>
  <c r="G21" i="17"/>
  <c r="H21" i="17"/>
  <c r="I21" i="17"/>
  <c r="J21" i="17"/>
  <c r="G22" i="17"/>
  <c r="H22" i="17"/>
  <c r="I22" i="17"/>
  <c r="J22" i="17"/>
  <c r="G23" i="17"/>
  <c r="H23" i="17"/>
  <c r="I23" i="17"/>
  <c r="J23" i="17"/>
  <c r="G24" i="17"/>
  <c r="H24" i="17"/>
  <c r="I24" i="17"/>
  <c r="J24" i="17"/>
  <c r="G25" i="17"/>
  <c r="H25" i="17"/>
  <c r="I25" i="17"/>
  <c r="J25" i="17"/>
  <c r="G26" i="17"/>
  <c r="H26" i="17"/>
  <c r="I26" i="17"/>
  <c r="J26" i="17"/>
  <c r="G27" i="17"/>
  <c r="H27" i="17"/>
  <c r="I27" i="17"/>
  <c r="J27" i="17"/>
  <c r="H28" i="17"/>
  <c r="I28" i="17"/>
  <c r="J28" i="17"/>
  <c r="G29" i="17"/>
  <c r="H29" i="17"/>
  <c r="I29" i="17"/>
  <c r="J29" i="17"/>
  <c r="G30" i="17"/>
  <c r="H30" i="17"/>
  <c r="I30" i="17"/>
  <c r="J30" i="17"/>
  <c r="G31" i="17"/>
  <c r="H31" i="17"/>
  <c r="I31" i="17"/>
  <c r="J31" i="17"/>
  <c r="G32" i="17"/>
  <c r="H32" i="17"/>
  <c r="I32" i="17"/>
  <c r="J32" i="17"/>
  <c r="G33" i="17"/>
  <c r="H33" i="17"/>
  <c r="I33" i="17"/>
  <c r="J33" i="17"/>
  <c r="G34" i="17"/>
  <c r="H34" i="17"/>
  <c r="I34" i="17"/>
  <c r="J34" i="17"/>
  <c r="G35" i="17"/>
  <c r="H35" i="17"/>
  <c r="I35" i="17"/>
  <c r="J35" i="17"/>
  <c r="G36" i="17"/>
  <c r="H36" i="17"/>
  <c r="I36" i="17"/>
  <c r="J36" i="17"/>
  <c r="G37" i="17"/>
  <c r="H37" i="17"/>
  <c r="I37" i="17"/>
  <c r="J37" i="17"/>
  <c r="G38" i="17"/>
  <c r="H38" i="17"/>
  <c r="I38" i="17"/>
  <c r="J38" i="17"/>
  <c r="G39" i="17"/>
  <c r="H39" i="17"/>
  <c r="I39" i="17"/>
  <c r="J39" i="17"/>
  <c r="G40" i="17"/>
  <c r="H40" i="17"/>
  <c r="I40" i="17"/>
  <c r="J40" i="17"/>
  <c r="G41" i="17"/>
  <c r="H41" i="17"/>
  <c r="I41" i="17"/>
  <c r="J41" i="17"/>
  <c r="G42" i="17"/>
  <c r="H42" i="17"/>
  <c r="I42" i="17"/>
  <c r="J42" i="17"/>
  <c r="G43" i="17"/>
  <c r="H43" i="17"/>
  <c r="I43" i="17"/>
  <c r="J43" i="17"/>
  <c r="G44" i="17"/>
  <c r="H44" i="17"/>
  <c r="I44" i="17"/>
  <c r="J44" i="17"/>
  <c r="G45" i="17"/>
  <c r="H45" i="17"/>
  <c r="I45" i="17"/>
  <c r="J45" i="17"/>
  <c r="G46" i="17"/>
  <c r="H46" i="17"/>
  <c r="I46" i="17"/>
  <c r="J46" i="17"/>
  <c r="G47" i="17"/>
  <c r="H47" i="17"/>
  <c r="I47" i="17"/>
  <c r="J47" i="17"/>
  <c r="G48" i="17"/>
  <c r="H48" i="17"/>
  <c r="I48" i="17"/>
  <c r="J48" i="17"/>
  <c r="G49" i="17"/>
  <c r="H49" i="17"/>
  <c r="I49" i="17"/>
  <c r="J49" i="17"/>
  <c r="G50" i="17"/>
  <c r="H50" i="17"/>
  <c r="I50" i="17"/>
  <c r="J50" i="17"/>
  <c r="G51" i="17"/>
  <c r="H51" i="17"/>
  <c r="I51" i="17"/>
  <c r="J51" i="17"/>
  <c r="G52" i="17"/>
  <c r="H52" i="17"/>
  <c r="I52" i="17"/>
  <c r="J52" i="17"/>
  <c r="G53" i="17"/>
  <c r="H53" i="17"/>
  <c r="I53" i="17"/>
  <c r="J53" i="17"/>
  <c r="G54" i="17"/>
  <c r="H54" i="17"/>
  <c r="I54" i="17"/>
  <c r="J54" i="17"/>
  <c r="G55" i="17"/>
  <c r="H55" i="17"/>
  <c r="I55" i="17"/>
  <c r="J55" i="17"/>
  <c r="G56" i="17"/>
  <c r="H56" i="17"/>
  <c r="I56" i="17"/>
  <c r="J56" i="17"/>
  <c r="G57" i="17"/>
  <c r="H57" i="17"/>
  <c r="I57" i="17"/>
  <c r="J57" i="17"/>
  <c r="G58" i="17"/>
  <c r="H58" i="17"/>
  <c r="I58" i="17"/>
  <c r="J58" i="17"/>
  <c r="G59" i="17"/>
  <c r="H59" i="17"/>
  <c r="I59" i="17"/>
  <c r="J59" i="17"/>
  <c r="G60" i="17"/>
  <c r="H60" i="17"/>
  <c r="I60" i="17"/>
  <c r="J60" i="17"/>
  <c r="G61" i="17"/>
  <c r="H61" i="17"/>
  <c r="I61" i="17"/>
  <c r="J61" i="17"/>
  <c r="G62" i="17"/>
  <c r="H62" i="17"/>
  <c r="I62" i="17"/>
  <c r="J62" i="17"/>
  <c r="G63" i="17"/>
  <c r="H63" i="17"/>
  <c r="I63" i="17"/>
  <c r="J63" i="17"/>
  <c r="H15" i="17"/>
  <c r="I15" i="17"/>
  <c r="J15" i="17"/>
  <c r="F5" i="17" s="1"/>
  <c r="G15" i="17"/>
  <c r="C21" i="19" l="1"/>
  <c r="C22" i="19" s="1"/>
  <c r="T29" i="17"/>
  <c r="X29" i="17"/>
  <c r="V29" i="17"/>
  <c r="Z29" i="17"/>
  <c r="U29" i="17"/>
  <c r="Y29" i="17"/>
  <c r="W30" i="17"/>
  <c r="S30" i="17"/>
  <c r="D5" i="17"/>
  <c r="C5" i="17"/>
  <c r="Q45" i="17"/>
  <c r="Q47" i="17"/>
  <c r="Q43" i="17"/>
  <c r="Q46" i="17"/>
  <c r="Q42" i="17"/>
  <c r="E6" i="17"/>
  <c r="G6" i="17" s="1"/>
  <c r="T30" i="17" l="1"/>
  <c r="X30" i="17"/>
  <c r="U30" i="17"/>
  <c r="Y30" i="17"/>
  <c r="V30" i="17"/>
  <c r="Z30" i="17"/>
  <c r="S31" i="17"/>
  <c r="W31" i="17"/>
  <c r="E5" i="17"/>
  <c r="C35" i="19"/>
  <c r="Z31" i="17" l="1"/>
  <c r="V31" i="17"/>
  <c r="Y31" i="17"/>
  <c r="U31" i="17"/>
  <c r="X31" i="17"/>
  <c r="T31" i="17"/>
  <c r="S32" i="17"/>
  <c r="W32" i="17"/>
  <c r="C71" i="19"/>
  <c r="C73" i="19" s="1"/>
  <c r="C37" i="19"/>
  <c r="G5" i="17"/>
  <c r="C83" i="19" l="1"/>
  <c r="C106" i="19"/>
  <c r="U32" i="17"/>
  <c r="Y32" i="17"/>
  <c r="T32" i="17"/>
  <c r="X32" i="17"/>
  <c r="V32" i="17"/>
  <c r="Z33" i="17" s="1"/>
  <c r="Z32" i="17"/>
  <c r="W33" i="17"/>
  <c r="S33" i="17"/>
  <c r="C74" i="19"/>
  <c r="C75" i="19" s="1"/>
  <c r="C76" i="19" s="1"/>
  <c r="C77" i="19" s="1"/>
  <c r="C80" i="19" s="1"/>
  <c r="C38" i="19"/>
  <c r="C109" i="19" l="1"/>
  <c r="C108" i="19"/>
  <c r="B106" i="19"/>
  <c r="D106" i="19" s="1"/>
  <c r="C85" i="19"/>
  <c r="C86" i="19" s="1"/>
  <c r="V33" i="17"/>
  <c r="Z34" i="17" s="1"/>
  <c r="X33" i="17"/>
  <c r="T33" i="17"/>
  <c r="Y33" i="17"/>
  <c r="U33" i="17"/>
  <c r="W34" i="17"/>
  <c r="S34" i="17"/>
  <c r="C43" i="19"/>
  <c r="C44" i="19" s="1"/>
  <c r="C45" i="19" s="1"/>
  <c r="C46" i="19" s="1"/>
  <c r="C78" i="19"/>
  <c r="C39" i="19"/>
  <c r="C40" i="19" s="1"/>
  <c r="C41" i="19" s="1"/>
  <c r="C42" i="19" s="1"/>
  <c r="V34" i="17"/>
  <c r="Z35" i="17" s="1"/>
  <c r="C107" i="19" l="1"/>
  <c r="D108" i="19"/>
  <c r="F108" i="19" s="1"/>
  <c r="C88" i="19" s="1"/>
  <c r="C94" i="19" s="1"/>
  <c r="C100" i="19" s="1"/>
  <c r="B109" i="19"/>
  <c r="D109" i="19" s="1"/>
  <c r="F109" i="19" s="1"/>
  <c r="C89" i="19" s="1"/>
  <c r="C95" i="19" s="1"/>
  <c r="C101" i="19" s="1"/>
  <c r="T34" i="17"/>
  <c r="X34" i="17"/>
  <c r="Y34" i="17"/>
  <c r="U34" i="17"/>
  <c r="W35" i="17"/>
  <c r="S35" i="17"/>
  <c r="U35" i="17"/>
  <c r="T35" i="17"/>
  <c r="V35" i="17"/>
  <c r="Z36" i="17" s="1"/>
  <c r="B107" i="19" l="1"/>
  <c r="D107" i="19" s="1"/>
  <c r="E107" i="19" s="1"/>
  <c r="C87" i="19" s="1"/>
  <c r="Y35" i="17"/>
  <c r="Y36" i="17" s="1"/>
  <c r="X35" i="17"/>
  <c r="T36" i="17" s="1"/>
  <c r="W36" i="17"/>
  <c r="S36" i="17"/>
  <c r="W37" i="17" s="1"/>
  <c r="V36" i="17"/>
  <c r="U36" i="17"/>
  <c r="C93" i="19" l="1"/>
  <c r="C92" i="19"/>
  <c r="Y37" i="17"/>
  <c r="V37" i="17"/>
  <c r="Z38" i="17" s="1"/>
  <c r="Z37" i="17"/>
  <c r="X36" i="17"/>
  <c r="X37" i="17" s="1"/>
  <c r="U37" i="17"/>
  <c r="T37" i="17"/>
  <c r="Y38" i="17" l="1"/>
  <c r="X38" i="17"/>
  <c r="U38" i="17"/>
  <c r="V38" i="17"/>
  <c r="Z39" i="17" s="1"/>
  <c r="T38" i="17"/>
  <c r="Y39" i="17" l="1"/>
  <c r="T39" i="17"/>
  <c r="X39" i="17"/>
  <c r="V39" i="17"/>
  <c r="Z40" i="17" s="1"/>
  <c r="U39" i="17"/>
  <c r="Y40" i="17" l="1"/>
  <c r="T40" i="17"/>
  <c r="X40" i="17"/>
  <c r="U40" i="17"/>
  <c r="V40" i="17"/>
  <c r="Z41" i="17" s="1"/>
  <c r="Y41" i="17" l="1"/>
  <c r="T41" i="17"/>
  <c r="X41" i="17"/>
  <c r="V41" i="17"/>
  <c r="Z42" i="17" s="1"/>
  <c r="U41" i="17"/>
  <c r="U42" i="17" l="1"/>
  <c r="Y42" i="17"/>
  <c r="T42" i="17"/>
  <c r="X42" i="17"/>
  <c r="V42" i="17"/>
  <c r="Z43" i="17" s="1"/>
  <c r="T43" i="17" l="1"/>
  <c r="X43" i="17"/>
  <c r="Y43" i="17"/>
  <c r="V43" i="17"/>
  <c r="Z44" i="17" s="1"/>
  <c r="U43" i="17"/>
  <c r="Y44" i="17" s="1"/>
  <c r="T44" i="17" l="1"/>
  <c r="X44" i="17"/>
  <c r="U44" i="17"/>
  <c r="Y45" i="17" s="1"/>
  <c r="V44" i="17"/>
  <c r="Z45" i="17" s="1"/>
  <c r="T45" i="17" l="1"/>
  <c r="X45" i="17"/>
  <c r="V45" i="17"/>
  <c r="Z46" i="17" s="1"/>
  <c r="U45" i="17"/>
  <c r="Y46" i="17" s="1"/>
  <c r="T46" i="17" l="1"/>
  <c r="X46" i="17"/>
  <c r="U46" i="17"/>
  <c r="Y47" i="17" s="1"/>
  <c r="V46" i="17"/>
  <c r="V47" i="17" l="1"/>
  <c r="Z47" i="17"/>
  <c r="T47" i="17"/>
  <c r="X47" i="17"/>
  <c r="U47" i="17"/>
  <c r="Y48" i="17" s="1"/>
  <c r="T48" i="17" l="1"/>
  <c r="X48" i="17"/>
  <c r="V48" i="17"/>
  <c r="Z48" i="17"/>
  <c r="U48" i="17"/>
  <c r="Y49" i="17" s="1"/>
  <c r="V49" i="17" l="1"/>
  <c r="Z49" i="17"/>
  <c r="T49" i="17"/>
  <c r="X49" i="17"/>
  <c r="U49" i="17"/>
  <c r="Y50" i="17" s="1"/>
  <c r="T50" i="17" l="1"/>
  <c r="X50" i="17"/>
  <c r="V50" i="17"/>
  <c r="Z51" i="17" s="1"/>
  <c r="Z50" i="17"/>
  <c r="U50" i="17"/>
  <c r="Y51" i="17" l="1"/>
  <c r="U51" i="17"/>
  <c r="T51" i="17"/>
  <c r="X51" i="17"/>
  <c r="V51" i="17"/>
  <c r="V52" i="17" l="1"/>
  <c r="Z52" i="17"/>
  <c r="V53" i="17" s="1"/>
  <c r="U52" i="17"/>
  <c r="Y52" i="17"/>
  <c r="T52" i="17"/>
  <c r="X52" i="17"/>
  <c r="T53" i="17" s="1"/>
  <c r="Y53" i="17" l="1"/>
  <c r="U53" i="17"/>
  <c r="U54" i="17" s="1"/>
  <c r="X53" i="17"/>
  <c r="X54" i="17" s="1"/>
  <c r="Z53" i="17"/>
  <c r="Z54" i="17" s="1"/>
  <c r="T54" i="17"/>
  <c r="Y54" i="17" l="1"/>
  <c r="V54" i="17"/>
  <c r="Z55" i="17" s="1"/>
  <c r="X55" i="17"/>
  <c r="T55" i="17"/>
  <c r="X56" i="17" s="1"/>
  <c r="Y55" i="17" l="1"/>
  <c r="E8" i="17"/>
  <c r="G8" i="17" s="1"/>
  <c r="U55" i="17"/>
  <c r="V55" i="17"/>
  <c r="V56" i="17" s="1"/>
  <c r="T56" i="17"/>
  <c r="X57" i="17" s="1"/>
  <c r="Y56" i="17" l="1"/>
  <c r="U56" i="17"/>
  <c r="Y57" i="17" s="1"/>
  <c r="Z56" i="17"/>
  <c r="Z57" i="17" s="1"/>
  <c r="T57" i="17"/>
  <c r="X58" i="17" s="1"/>
  <c r="V57" i="17"/>
  <c r="U57" i="17" l="1"/>
  <c r="Y58" i="17" s="1"/>
  <c r="Z58" i="17"/>
  <c r="V58" i="17"/>
  <c r="T58" i="17"/>
  <c r="U58" i="17" l="1"/>
  <c r="Y59" i="17" s="1"/>
  <c r="Z59" i="17"/>
  <c r="T59" i="17"/>
  <c r="X59" i="17"/>
  <c r="V59" i="17"/>
  <c r="U59" i="17" l="1"/>
  <c r="Y60" i="17" s="1"/>
  <c r="Z60" i="17"/>
  <c r="T60" i="17"/>
  <c r="X60" i="17"/>
  <c r="V60" i="17"/>
  <c r="Z61" i="17" s="1"/>
  <c r="U60" i="17" l="1"/>
  <c r="Y61" i="17" s="1"/>
  <c r="T61" i="17"/>
  <c r="X61" i="17"/>
  <c r="V61" i="17"/>
  <c r="Z62" i="17" s="1"/>
  <c r="U61" i="17" l="1"/>
  <c r="Y62" i="17" s="1"/>
  <c r="T62" i="17"/>
  <c r="X62" i="17"/>
  <c r="V62" i="17"/>
  <c r="Z63" i="17" s="1"/>
  <c r="U62" i="17" l="1"/>
  <c r="Y63" i="17" s="1"/>
  <c r="T63" i="17"/>
  <c r="X63" i="17"/>
  <c r="V63" i="17"/>
  <c r="U63" i="17" l="1"/>
  <c r="S37" i="17"/>
  <c r="W38" i="17" s="1"/>
  <c r="S38" i="17" l="1"/>
  <c r="W39" i="17" s="1"/>
  <c r="S39" i="17" l="1"/>
  <c r="W40" i="17" s="1"/>
  <c r="S40" i="17" l="1"/>
  <c r="W41" i="17" s="1"/>
  <c r="S41" i="17" l="1"/>
  <c r="W42" i="17" s="1"/>
  <c r="S42" i="17" l="1"/>
  <c r="W43" i="17" s="1"/>
  <c r="S43" i="17" l="1"/>
  <c r="W44" i="17" s="1"/>
  <c r="S44" i="17" l="1"/>
  <c r="W45" i="17" s="1"/>
  <c r="S45" i="17" l="1"/>
  <c r="W46" i="17" s="1"/>
  <c r="S46" i="17" l="1"/>
  <c r="W47" i="17" s="1"/>
  <c r="S47" i="17" l="1"/>
  <c r="W48" i="17" s="1"/>
  <c r="S48" i="17" l="1"/>
  <c r="W49" i="17" s="1"/>
  <c r="S49" i="17" l="1"/>
  <c r="W50" i="17" s="1"/>
  <c r="S50" i="17" l="1"/>
  <c r="W51" i="17" s="1"/>
  <c r="S51" i="17" l="1"/>
  <c r="W52" i="17" s="1"/>
  <c r="S52" i="17" l="1"/>
  <c r="W53" i="17" s="1"/>
  <c r="S53" i="17" l="1"/>
  <c r="W54" i="17" s="1"/>
  <c r="S54" i="17" l="1"/>
  <c r="W55" i="17" s="1"/>
  <c r="S55" i="17" l="1"/>
  <c r="W56" i="17" s="1"/>
  <c r="S56" i="17" l="1"/>
  <c r="W57" i="17" s="1"/>
  <c r="S57" i="17" l="1"/>
  <c r="W58" i="17" s="1"/>
  <c r="S58" i="17" l="1"/>
  <c r="W59" i="17" s="1"/>
  <c r="S59" i="17" l="1"/>
  <c r="W60" i="17" s="1"/>
  <c r="S60" i="17" l="1"/>
  <c r="W61" i="17" s="1"/>
  <c r="S61" i="17" l="1"/>
  <c r="W62" i="17" s="1"/>
  <c r="S62" i="17" l="1"/>
  <c r="W63" i="17" s="1"/>
  <c r="S63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Stephenson</author>
  </authors>
  <commentList>
    <comment ref="B24" authorId="0" shapeId="0" xr:uid="{163EC53B-B15F-42A0-95EB-E4897E38BB8A}">
      <text>
        <r>
          <rPr>
            <b/>
            <sz val="9"/>
            <color indexed="81"/>
            <rFont val="Tahoma"/>
            <family val="2"/>
          </rPr>
          <t>John Stephenson:</t>
        </r>
        <r>
          <rPr>
            <sz val="9"/>
            <color indexed="81"/>
            <rFont val="Tahoma"/>
            <family val="2"/>
          </rPr>
          <t xml:space="preserve">
Assume impact is entirely on offpeak periods
</t>
        </r>
      </text>
    </comment>
    <comment ref="B42" authorId="0" shapeId="0" xr:uid="{2984DCD2-80D4-4FF3-B247-103D1EAC270E}">
      <text>
        <r>
          <rPr>
            <b/>
            <sz val="9"/>
            <color indexed="81"/>
            <rFont val="Tahoma"/>
            <family val="2"/>
          </rPr>
          <t>John Stephenson:</t>
        </r>
        <r>
          <rPr>
            <sz val="9"/>
            <color indexed="81"/>
            <rFont val="Tahoma"/>
            <family val="2"/>
          </rPr>
          <t xml:space="preserve">
Assumes no nominal price arbitrage for cycling during peak periods, thus a net efficiency cost from buying and selling at the same prices</t>
        </r>
      </text>
    </comment>
    <comment ref="B45" authorId="0" shapeId="0" xr:uid="{53AB29AA-8C30-4025-AFB2-186B76F35E98}">
      <text>
        <r>
          <rPr>
            <b/>
            <sz val="9"/>
            <color indexed="81"/>
            <rFont val="Tahoma"/>
            <family val="2"/>
          </rPr>
          <t>John Stephenson:</t>
        </r>
        <r>
          <rPr>
            <sz val="9"/>
            <color indexed="81"/>
            <rFont val="Tahoma"/>
            <family val="2"/>
          </rPr>
          <t xml:space="preserve">
Assumes no nominal price arbitrage for cycling during peak periods, thus a net efficiency cost from buying and selling at the same prices</t>
        </r>
      </text>
    </comment>
    <comment ref="B48" authorId="0" shapeId="0" xr:uid="{D36FEDB6-F411-4215-BF04-36FE070FA374}">
      <text>
        <r>
          <rPr>
            <b/>
            <sz val="9"/>
            <color indexed="81"/>
            <rFont val="Tahoma"/>
            <family val="2"/>
          </rPr>
          <t>John Stephenson:</t>
        </r>
        <r>
          <rPr>
            <sz val="9"/>
            <color indexed="81"/>
            <rFont val="Tahoma"/>
            <family val="2"/>
          </rPr>
          <t xml:space="preserve">
Assume impact on demand is 50:50 between these two periods.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Stephenson</author>
  </authors>
  <commentList>
    <comment ref="B8" authorId="0" shapeId="0" xr:uid="{4F511BBE-50A4-47FE-9777-353AE904302A}">
      <text>
        <r>
          <rPr>
            <b/>
            <sz val="9"/>
            <color indexed="81"/>
            <rFont val="Tahoma"/>
            <family val="2"/>
          </rPr>
          <t>John Stephenson:</t>
        </r>
        <r>
          <rPr>
            <sz val="9"/>
            <color indexed="81"/>
            <rFont val="Tahoma"/>
            <family val="2"/>
          </rPr>
          <t xml:space="preserve">
Defined as top 10 trading periods - that is the top 20% of trading periods in the highest 6 months of the year - to roughly align with the 10% of trading periods in the model as peak periods.  
7-9am and 5:30-7:30
</t>
        </r>
      </text>
    </comment>
  </commentList>
</comments>
</file>

<file path=xl/sharedStrings.xml><?xml version="1.0" encoding="utf-8"?>
<sst xmlns="http://schemas.openxmlformats.org/spreadsheetml/2006/main" count="205" uniqueCount="125">
  <si>
    <t>LRMC</t>
  </si>
  <si>
    <t>Fixed O&amp;M</t>
  </si>
  <si>
    <t>Peak</t>
  </si>
  <si>
    <t>All</t>
  </si>
  <si>
    <t>Arbitrage value</t>
  </si>
  <si>
    <t>Discharge/Charge (h), constant power</t>
  </si>
  <si>
    <t>Cycles per day</t>
  </si>
  <si>
    <t>Depth of discharge</t>
  </si>
  <si>
    <t>PV MWh</t>
  </si>
  <si>
    <t>Capital cost ($/kW)</t>
  </si>
  <si>
    <t>Fixed O&amp;M (p.a., % capital cost)</t>
  </si>
  <si>
    <t>Capacity (MW)</t>
  </si>
  <si>
    <t>E/P ratio</t>
  </si>
  <si>
    <t>Round trip efficiency</t>
  </si>
  <si>
    <t>Average depth of discharge</t>
  </si>
  <si>
    <t>Arbitrage</t>
  </si>
  <si>
    <t>Cycles per day, average</t>
  </si>
  <si>
    <t>MWh p.a.</t>
  </si>
  <si>
    <t>Aribitrage uncertainty</t>
  </si>
  <si>
    <t>Certainty equivalent MWh p.a.</t>
  </si>
  <si>
    <t>Assumed battery configuration</t>
  </si>
  <si>
    <t>Present value MWh</t>
  </si>
  <si>
    <t>General parameters</t>
  </si>
  <si>
    <t>Battery life (years)</t>
  </si>
  <si>
    <t>Present value fixed O&amp;M ($/MW)</t>
  </si>
  <si>
    <t>Long run levelised capital cost</t>
  </si>
  <si>
    <t>Row Labels</t>
  </si>
  <si>
    <t>LNI</t>
  </si>
  <si>
    <t>LSI</t>
  </si>
  <si>
    <t>UNI</t>
  </si>
  <si>
    <t>USI</t>
  </si>
  <si>
    <t>Date</t>
  </si>
  <si>
    <t>Jul</t>
  </si>
  <si>
    <t>Grand Total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</si>
  <si>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</si>
  <si>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</si>
  <si>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</si>
  <si>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</si>
  <si>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</si>
  <si>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</si>
  <si>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</si>
  <si>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</si>
  <si>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</si>
  <si>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</si>
  <si>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Aug</t>
  </si>
  <si>
    <t>Peak periods - 3 years</t>
  </si>
  <si>
    <t>Pr(Peak)</t>
  </si>
  <si>
    <t>Strategy</t>
  </si>
  <si>
    <t>p(Peak|strategy)</t>
  </si>
  <si>
    <t>Average</t>
  </si>
  <si>
    <t>Peak uncertainty</t>
  </si>
  <si>
    <t>Present value fixed cost ($/MW)</t>
  </si>
  <si>
    <t>Long run levelised capital cost with efficiency cost</t>
  </si>
  <si>
    <t>Counts</t>
  </si>
  <si>
    <t>Months per year - peaks occurring</t>
  </si>
  <si>
    <t>Shoulder</t>
  </si>
  <si>
    <t>Off-peak</t>
  </si>
  <si>
    <t xml:space="preserve">Hybrid strategy </t>
  </si>
  <si>
    <t>Long run levelised capital cost/MWh</t>
  </si>
  <si>
    <t>RCPD</t>
  </si>
  <si>
    <t>MWh (E/P 1:1)</t>
  </si>
  <si>
    <t>SOC (start of period)</t>
  </si>
  <si>
    <t>Max charge/discharge</t>
  </si>
  <si>
    <t>Capital cost</t>
  </si>
  <si>
    <t>Build cost</t>
  </si>
  <si>
    <t>Uncertainty</t>
  </si>
  <si>
    <t>Certainty equivalent MWh</t>
  </si>
  <si>
    <t>Unit capital cost</t>
  </si>
  <si>
    <t>Months per year</t>
  </si>
  <si>
    <t>tou</t>
  </si>
  <si>
    <t>For hybrid strategies, the months when arbitrage is feasible are deflated…</t>
  </si>
  <si>
    <t>Outside peak months</t>
  </si>
  <si>
    <t>All months</t>
  </si>
  <si>
    <t>Share of arbitrage opportunities outside peak months</t>
  </si>
  <si>
    <t>Efficiency adjustment to MWh p.a.</t>
  </si>
  <si>
    <t>Total MWh</t>
  </si>
  <si>
    <t>No</t>
  </si>
  <si>
    <t>Yes</t>
  </si>
  <si>
    <t>Peak in month?</t>
  </si>
  <si>
    <t>Price</t>
  </si>
  <si>
    <t>Volume (MWh)</t>
  </si>
  <si>
    <t>Prices inside and outside peak months (May-October), volume and price data 2007-2017</t>
  </si>
  <si>
    <t>Arbitrage strategy, assumptions</t>
  </si>
  <si>
    <t>Cycles - dispatch strategies aimed at hitting peak periods while maintaining state of charge (SOC) between 0.2 and 0.8</t>
  </si>
  <si>
    <t>Charging</t>
  </si>
  <si>
    <t>Cycles/day</t>
  </si>
  <si>
    <t>Long run levelised capital cost with efficiency cost ($/MWh)</t>
  </si>
  <si>
    <t>Discount on capital cost vs arbitrage ($/MWh)</t>
  </si>
  <si>
    <t>Long run levelised capital cost ($/MWh)</t>
  </si>
  <si>
    <t>Present value MWh @ 800 MWh (Peak periods)</t>
  </si>
  <si>
    <t>Charging at peak</t>
  </si>
  <si>
    <t>Discharge at peak</t>
  </si>
  <si>
    <t>Peak displacement (ratio)</t>
  </si>
  <si>
    <t>Assumed peak displacement</t>
  </si>
  <si>
    <t>Peak displacement</t>
  </si>
  <si>
    <t>Shoulder demand impact</t>
  </si>
  <si>
    <t>Off peak demand impact</t>
  </si>
  <si>
    <t>For each additional MW of DG</t>
  </si>
  <si>
    <t>of which peak grid demand declines by</t>
  </si>
  <si>
    <t>1 MW DG/battery capacity means DG output increases by</t>
  </si>
  <si>
    <t>with charging at peak of</t>
  </si>
  <si>
    <t>while charging occurs at shoulder</t>
  </si>
  <si>
    <t>and charging occurs during off-peak periods</t>
  </si>
  <si>
    <t>Adjusted for efficiency losses (0.1)</t>
  </si>
  <si>
    <t>Arbitrage opportunities relative to periods of RCPD avoidance</t>
  </si>
  <si>
    <t>Share of arbitrage at peak, with hybrid strategy</t>
  </si>
  <si>
    <t>Implies arbitrage outside peak months is half as valuable as arbitrage inside peak months, approximately</t>
  </si>
  <si>
    <t>Peak as share of arbitrage value outside peak months</t>
  </si>
  <si>
    <t>Total Peak MWh</t>
  </si>
  <si>
    <t>Investment decisions…</t>
  </si>
  <si>
    <t>Total Peak MWh per average hours in model peak</t>
  </si>
  <si>
    <t>Peak output share - arbitrage</t>
  </si>
  <si>
    <t>Peak output share - RCPD avoidance</t>
  </si>
  <si>
    <t>Charging outside peak (share of output)</t>
  </si>
  <si>
    <t>Total</t>
  </si>
  <si>
    <t>Displacement of demand, grid use model parameters…</t>
  </si>
  <si>
    <t>1 MW DG/battery capacity means model "DG"" output increases by</t>
  </si>
  <si>
    <t>while (net) charging occurs at shoulder</t>
  </si>
  <si>
    <t>and charging occurs during off-peak periods (with energy loss)</t>
  </si>
  <si>
    <t>Peak Output shares and assumed sources of charge by time of use</t>
  </si>
  <si>
    <t>Grid use model, reallocation of demand…</t>
  </si>
  <si>
    <t>Investor discount rate</t>
  </si>
  <si>
    <t>RCPD avoidance strategy assumptions</t>
  </si>
  <si>
    <t>Demand increase/displacement</t>
  </si>
  <si>
    <t>Demand increase/displacement: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</si>
</sst>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"/>
    <numFmt numFmtId="167" formatCode="_-* #,##0.000_-;\-* #,##0.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165" fontId="2" fillId="0" borderId="0" xfId="1" applyNumberFormat="1" applyFont="1"/>
    <xf numFmtId="2" fontId="2" fillId="0" borderId="0" xfId="0" applyNumberFormat="1" applyFont="1"/>
    <xf numFmtId="0" fontId="5" fillId="0" borderId="0" xfId="0" applyFont="1"/>
    <xf numFmtId="0" fontId="5" fillId="2" borderId="1" xfId="0" applyFont="1" applyFill="1" applyBorder="1"/>
    <xf numFmtId="14" fontId="2" fillId="0" borderId="0" xfId="0" applyNumberFormat="1" applyFont="1"/>
    <xf numFmtId="0" fontId="5" fillId="2" borderId="2" xfId="0" applyFont="1" applyFill="1" applyBorder="1"/>
    <xf numFmtId="20" fontId="2" fillId="0" borderId="0" xfId="0" applyNumberFormat="1" applyFont="1" applyAlignment="1">
      <alignment horizontal="left"/>
    </xf>
    <xf numFmtId="20" fontId="5" fillId="2" borderId="2" xfId="0" applyNumberFormat="1" applyFont="1" applyFill="1" applyBorder="1" applyAlignment="1">
      <alignment horizontal="left"/>
    </xf>
    <xf numFmtId="166" fontId="2" fillId="0" borderId="0" xfId="0" applyNumberFormat="1" applyFont="1"/>
    <xf numFmtId="0" fontId="6" fillId="0" borderId="0" xfId="0" applyFont="1"/>
    <xf numFmtId="0" fontId="7" fillId="0" borderId="0" xfId="0" applyFont="1"/>
    <xf numFmtId="9" fontId="6" fillId="0" borderId="0" xfId="0" applyNumberFormat="1" applyFont="1"/>
    <xf numFmtId="165" fontId="6" fillId="0" borderId="0" xfId="1" applyNumberFormat="1" applyFont="1"/>
    <xf numFmtId="43" fontId="6" fillId="0" borderId="0" xfId="0" applyNumberFormat="1" applyFont="1"/>
    <xf numFmtId="3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20" fontId="6" fillId="0" borderId="0" xfId="0" applyNumberFormat="1" applyFont="1"/>
    <xf numFmtId="165" fontId="6" fillId="0" borderId="0" xfId="0" applyNumberFormat="1" applyFont="1"/>
    <xf numFmtId="20" fontId="7" fillId="0" borderId="0" xfId="0" applyNumberFormat="1" applyFont="1" applyAlignment="1">
      <alignment horizontal="left" indent="1"/>
    </xf>
    <xf numFmtId="20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14" fontId="5" fillId="2" borderId="2" xfId="0" applyNumberFormat="1" applyFont="1" applyFill="1" applyBorder="1"/>
    <xf numFmtId="0" fontId="2" fillId="0" borderId="0" xfId="0" applyFont="1" applyAlignment="1">
      <alignment wrapText="1"/>
    </xf>
    <xf numFmtId="3" fontId="2" fillId="0" borderId="0" xfId="1" applyNumberFormat="1" applyFont="1"/>
    <xf numFmtId="0" fontId="5" fillId="0" borderId="3" xfId="0" applyFont="1" applyBorder="1"/>
    <xf numFmtId="14" fontId="5" fillId="0" borderId="3" xfId="0" applyNumberFormat="1" applyFont="1" applyBorder="1"/>
    <xf numFmtId="0" fontId="2" fillId="0" borderId="4" xfId="0" applyFont="1" applyBorder="1"/>
    <xf numFmtId="3" fontId="2" fillId="0" borderId="4" xfId="0" applyNumberFormat="1" applyFont="1" applyBorder="1"/>
    <xf numFmtId="165" fontId="2" fillId="0" borderId="4" xfId="1" applyNumberFormat="1" applyFont="1" applyBorder="1"/>
    <xf numFmtId="3" fontId="2" fillId="0" borderId="4" xfId="1" applyNumberFormat="1" applyFont="1" applyBorder="1"/>
    <xf numFmtId="0" fontId="2" fillId="0" borderId="3" xfId="0" applyFont="1" applyBorder="1"/>
    <xf numFmtId="0" fontId="5" fillId="2" borderId="3" xfId="0" applyFont="1" applyFill="1" applyBorder="1"/>
    <xf numFmtId="164" fontId="2" fillId="0" borderId="0" xfId="0" applyNumberFormat="1" applyFont="1"/>
    <xf numFmtId="20" fontId="6" fillId="0" borderId="0" xfId="0" applyNumberFormat="1" applyFont="1" applyAlignment="1">
      <alignment horizontal="left" indent="2"/>
    </xf>
    <xf numFmtId="0" fontId="7" fillId="0" borderId="3" xfId="0" applyFont="1" applyBorder="1"/>
    <xf numFmtId="0" fontId="6" fillId="0" borderId="3" xfId="0" applyFont="1" applyBorder="1"/>
    <xf numFmtId="0" fontId="6" fillId="0" borderId="4" xfId="0" applyFont="1" applyBorder="1"/>
    <xf numFmtId="3" fontId="6" fillId="0" borderId="4" xfId="0" applyNumberFormat="1" applyFont="1" applyBorder="1"/>
    <xf numFmtId="20" fontId="6" fillId="0" borderId="4" xfId="0" applyNumberFormat="1" applyFont="1" applyBorder="1"/>
    <xf numFmtId="43" fontId="6" fillId="0" borderId="4" xfId="0" applyNumberFormat="1" applyFont="1" applyBorder="1"/>
    <xf numFmtId="20" fontId="7" fillId="0" borderId="3" xfId="0" applyNumberFormat="1" applyFont="1" applyBorder="1"/>
    <xf numFmtId="164" fontId="6" fillId="0" borderId="3" xfId="0" applyNumberFormat="1" applyFont="1" applyBorder="1"/>
    <xf numFmtId="20" fontId="6" fillId="0" borderId="4" xfId="0" applyNumberFormat="1" applyFont="1" applyBorder="1" applyAlignment="1">
      <alignment horizontal="left" indent="2"/>
    </xf>
    <xf numFmtId="0" fontId="6" fillId="0" borderId="0" xfId="0" applyFont="1" applyBorder="1"/>
    <xf numFmtId="166" fontId="6" fillId="0" borderId="0" xfId="0" applyNumberFormat="1" applyFont="1"/>
    <xf numFmtId="43" fontId="2" fillId="0" borderId="0" xfId="0" applyNumberFormat="1" applyFont="1"/>
    <xf numFmtId="4" fontId="6" fillId="0" borderId="0" xfId="0" applyNumberFormat="1" applyFont="1"/>
    <xf numFmtId="20" fontId="7" fillId="0" borderId="0" xfId="0" applyNumberFormat="1" applyFont="1" applyBorder="1"/>
    <xf numFmtId="164" fontId="6" fillId="0" borderId="0" xfId="0" applyNumberFormat="1" applyFont="1" applyBorder="1"/>
    <xf numFmtId="20" fontId="7" fillId="0" borderId="0" xfId="0" applyNumberFormat="1" applyFont="1"/>
    <xf numFmtId="20" fontId="6" fillId="0" borderId="0" xfId="0" applyNumberFormat="1" applyFont="1" applyBorder="1"/>
    <xf numFmtId="43" fontId="6" fillId="0" borderId="0" xfId="0" applyNumberFormat="1" applyFont="1" applyBorder="1"/>
    <xf numFmtId="166" fontId="6" fillId="0" borderId="4" xfId="0" applyNumberFormat="1" applyFont="1" applyBorder="1"/>
    <xf numFmtId="0" fontId="6" fillId="0" borderId="5" xfId="0" applyFont="1" applyBorder="1"/>
    <xf numFmtId="2" fontId="6" fillId="0" borderId="5" xfId="0" applyNumberFormat="1" applyFont="1" applyBorder="1"/>
    <xf numFmtId="1" fontId="6" fillId="0" borderId="5" xfId="0" applyNumberFormat="1" applyFont="1" applyBorder="1"/>
    <xf numFmtId="167" fontId="6" fillId="0" borderId="4" xfId="0" applyNumberFormat="1" applyFont="1" applyBorder="1"/>
    <xf numFmtId="9" fontId="2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UNI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'RCPD probability by hour'!$B$15:$B$62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8.3333333333333329E-2</c:v>
                </c:pt>
                <c:pt idx="5">
                  <c:v>0.10416666666666667</c:v>
                </c:pt>
                <c:pt idx="6">
                  <c:v>0.125</c:v>
                </c:pt>
                <c:pt idx="7">
                  <c:v>0.14583333333333334</c:v>
                </c:pt>
                <c:pt idx="8">
                  <c:v>0.16666666666666666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0.22916666666666666</c:v>
                </c:pt>
                <c:pt idx="12">
                  <c:v>0.25</c:v>
                </c:pt>
                <c:pt idx="13">
                  <c:v>0.27083333333333331</c:v>
                </c:pt>
                <c:pt idx="14">
                  <c:v>0.29166666666666669</c:v>
                </c:pt>
                <c:pt idx="15">
                  <c:v>0.3125</c:v>
                </c:pt>
                <c:pt idx="16">
                  <c:v>0.33333333333333331</c:v>
                </c:pt>
                <c:pt idx="17">
                  <c:v>0.35416666666666669</c:v>
                </c:pt>
                <c:pt idx="18">
                  <c:v>0.375</c:v>
                </c:pt>
                <c:pt idx="19">
                  <c:v>0.39583333333333331</c:v>
                </c:pt>
                <c:pt idx="20">
                  <c:v>0.41666666666666669</c:v>
                </c:pt>
                <c:pt idx="21">
                  <c:v>0.4375</c:v>
                </c:pt>
                <c:pt idx="22">
                  <c:v>0.45833333333333331</c:v>
                </c:pt>
                <c:pt idx="23">
                  <c:v>0.47916666666666669</c:v>
                </c:pt>
                <c:pt idx="24">
                  <c:v>0.5</c:v>
                </c:pt>
                <c:pt idx="25">
                  <c:v>0.52083333333333337</c:v>
                </c:pt>
                <c:pt idx="26">
                  <c:v>0.54166666666666663</c:v>
                </c:pt>
                <c:pt idx="27">
                  <c:v>0.5625</c:v>
                </c:pt>
                <c:pt idx="28">
                  <c:v>0.58333333333333337</c:v>
                </c:pt>
                <c:pt idx="29">
                  <c:v>0.60416666666666663</c:v>
                </c:pt>
                <c:pt idx="30">
                  <c:v>0.625</c:v>
                </c:pt>
                <c:pt idx="31">
                  <c:v>0.64583333333333337</c:v>
                </c:pt>
                <c:pt idx="32">
                  <c:v>0.66666666666666663</c:v>
                </c:pt>
                <c:pt idx="33">
                  <c:v>0.6875</c:v>
                </c:pt>
                <c:pt idx="34">
                  <c:v>0.70833333333333337</c:v>
                </c:pt>
                <c:pt idx="35">
                  <c:v>0.72916666666666663</c:v>
                </c:pt>
                <c:pt idx="36">
                  <c:v>0.75</c:v>
                </c:pt>
                <c:pt idx="37">
                  <c:v>0.77083333333333337</c:v>
                </c:pt>
                <c:pt idx="38">
                  <c:v>0.79166666666666663</c:v>
                </c:pt>
                <c:pt idx="39">
                  <c:v>0.8125</c:v>
                </c:pt>
                <c:pt idx="40">
                  <c:v>0.83333333333333337</c:v>
                </c:pt>
                <c:pt idx="41">
                  <c:v>0.85416666666666663</c:v>
                </c:pt>
                <c:pt idx="42">
                  <c:v>0.875</c:v>
                </c:pt>
                <c:pt idx="43">
                  <c:v>0.89583333333333337</c:v>
                </c:pt>
                <c:pt idx="44">
                  <c:v>0.91666666666666663</c:v>
                </c:pt>
                <c:pt idx="45">
                  <c:v>0.9375</c:v>
                </c:pt>
                <c:pt idx="46">
                  <c:v>0.95833333333333337</c:v>
                </c:pt>
                <c:pt idx="47">
                  <c:v>0.97916666666666663</c:v>
                </c:pt>
              </c:numCache>
            </c:numRef>
          </c:cat>
          <c:val>
            <c:numRef>
              <c:f>'RCPD probability by hour'!$S$15:$S$63</c:f>
              <c:numCache>
                <c:formatCode>0.00</c:formatCode>
                <c:ptCount val="4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0.5</c:v>
                </c:pt>
                <c:pt idx="17">
                  <c:v>0.2</c:v>
                </c:pt>
                <c:pt idx="18">
                  <c:v>0.5</c:v>
                </c:pt>
                <c:pt idx="19">
                  <c:v>0.8</c:v>
                </c:pt>
                <c:pt idx="20">
                  <c:v>0.5</c:v>
                </c:pt>
                <c:pt idx="21">
                  <c:v>0.2</c:v>
                </c:pt>
                <c:pt idx="22">
                  <c:v>0.5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0.5</c:v>
                </c:pt>
                <c:pt idx="38">
                  <c:v>0.2</c:v>
                </c:pt>
                <c:pt idx="39">
                  <c:v>0.5</c:v>
                </c:pt>
                <c:pt idx="40">
                  <c:v>0.2</c:v>
                </c:pt>
                <c:pt idx="41">
                  <c:v>0.5</c:v>
                </c:pt>
                <c:pt idx="42">
                  <c:v>0.2</c:v>
                </c:pt>
                <c:pt idx="43">
                  <c:v>0.5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AD-4666-A75C-52486CDF8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25712"/>
        <c:axId val="479923152"/>
      </c:lineChart>
      <c:catAx>
        <c:axId val="47992571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23152"/>
        <c:crosses val="autoZero"/>
        <c:auto val="1"/>
        <c:lblAlgn val="ctr"/>
        <c:lblOffset val="100"/>
        <c:noMultiLvlLbl val="0"/>
      </c:catAx>
      <c:valAx>
        <c:axId val="47992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2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LNI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'RCPD probability by hour'!$T$15:$T$63</c:f>
              <c:numCache>
                <c:formatCode>0.00</c:formatCode>
                <c:ptCount val="4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0.5</c:v>
                </c:pt>
                <c:pt idx="17">
                  <c:v>0.2</c:v>
                </c:pt>
                <c:pt idx="18">
                  <c:v>0.5</c:v>
                </c:pt>
                <c:pt idx="19">
                  <c:v>0.2</c:v>
                </c:pt>
                <c:pt idx="20">
                  <c:v>0.5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0.5</c:v>
                </c:pt>
                <c:pt idx="37">
                  <c:v>0.2</c:v>
                </c:pt>
                <c:pt idx="38">
                  <c:v>0.5</c:v>
                </c:pt>
                <c:pt idx="39">
                  <c:v>0.2</c:v>
                </c:pt>
                <c:pt idx="40">
                  <c:v>0.5</c:v>
                </c:pt>
                <c:pt idx="41">
                  <c:v>0.2</c:v>
                </c:pt>
                <c:pt idx="42">
                  <c:v>0.5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AD-4666-A75C-52486CDF8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25712"/>
        <c:axId val="479923152"/>
      </c:lineChart>
      <c:catAx>
        <c:axId val="479925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23152"/>
        <c:crosses val="autoZero"/>
        <c:auto val="1"/>
        <c:lblAlgn val="ctr"/>
        <c:lblOffset val="100"/>
        <c:noMultiLvlLbl val="0"/>
      </c:catAx>
      <c:valAx>
        <c:axId val="47992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2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USI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'RCPD probability by hour'!$U$15:$U$63</c:f>
              <c:numCache>
                <c:formatCode>0.00</c:formatCode>
                <c:ptCount val="4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0.5</c:v>
                </c:pt>
                <c:pt idx="17">
                  <c:v>0.2</c:v>
                </c:pt>
                <c:pt idx="18">
                  <c:v>0.5</c:v>
                </c:pt>
                <c:pt idx="19">
                  <c:v>0.2</c:v>
                </c:pt>
                <c:pt idx="20">
                  <c:v>0.5</c:v>
                </c:pt>
                <c:pt idx="21">
                  <c:v>0.2</c:v>
                </c:pt>
                <c:pt idx="22">
                  <c:v>0.5</c:v>
                </c:pt>
                <c:pt idx="23">
                  <c:v>0.2</c:v>
                </c:pt>
                <c:pt idx="24">
                  <c:v>0.5</c:v>
                </c:pt>
                <c:pt idx="25">
                  <c:v>0.2</c:v>
                </c:pt>
                <c:pt idx="26">
                  <c:v>0.5</c:v>
                </c:pt>
                <c:pt idx="27">
                  <c:v>0.2</c:v>
                </c:pt>
                <c:pt idx="28">
                  <c:v>0.5</c:v>
                </c:pt>
                <c:pt idx="29">
                  <c:v>0.2</c:v>
                </c:pt>
                <c:pt idx="30">
                  <c:v>0.5</c:v>
                </c:pt>
                <c:pt idx="31">
                  <c:v>0.2</c:v>
                </c:pt>
                <c:pt idx="32">
                  <c:v>0.5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0.5</c:v>
                </c:pt>
                <c:pt idx="37">
                  <c:v>0.2</c:v>
                </c:pt>
                <c:pt idx="38">
                  <c:v>0.5</c:v>
                </c:pt>
                <c:pt idx="39">
                  <c:v>0.2</c:v>
                </c:pt>
                <c:pt idx="40">
                  <c:v>0.5</c:v>
                </c:pt>
                <c:pt idx="41">
                  <c:v>0.2</c:v>
                </c:pt>
                <c:pt idx="42">
                  <c:v>0.5</c:v>
                </c:pt>
                <c:pt idx="43">
                  <c:v>0.2</c:v>
                </c:pt>
                <c:pt idx="44">
                  <c:v>0.5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AD-4666-A75C-52486CDF8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25712"/>
        <c:axId val="479923152"/>
      </c:lineChart>
      <c:catAx>
        <c:axId val="479925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23152"/>
        <c:crosses val="autoZero"/>
        <c:auto val="1"/>
        <c:lblAlgn val="ctr"/>
        <c:lblOffset val="100"/>
        <c:noMultiLvlLbl val="0"/>
      </c:catAx>
      <c:valAx>
        <c:axId val="47992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2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LSI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'RCPD probability by hour'!$V$15:$V$63</c:f>
              <c:numCache>
                <c:formatCode>0.00</c:formatCode>
                <c:ptCount val="4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0.5</c:v>
                </c:pt>
                <c:pt idx="17">
                  <c:v>0.2</c:v>
                </c:pt>
                <c:pt idx="18">
                  <c:v>0.5</c:v>
                </c:pt>
                <c:pt idx="19">
                  <c:v>0.2</c:v>
                </c:pt>
                <c:pt idx="20">
                  <c:v>0.5</c:v>
                </c:pt>
                <c:pt idx="21">
                  <c:v>0.8</c:v>
                </c:pt>
                <c:pt idx="22">
                  <c:v>0.5</c:v>
                </c:pt>
                <c:pt idx="23">
                  <c:v>0.2</c:v>
                </c:pt>
                <c:pt idx="24">
                  <c:v>0.5</c:v>
                </c:pt>
                <c:pt idx="25">
                  <c:v>0.2</c:v>
                </c:pt>
                <c:pt idx="26">
                  <c:v>0.5</c:v>
                </c:pt>
                <c:pt idx="27">
                  <c:v>0.2</c:v>
                </c:pt>
                <c:pt idx="28">
                  <c:v>0.5</c:v>
                </c:pt>
                <c:pt idx="29">
                  <c:v>0.2</c:v>
                </c:pt>
                <c:pt idx="30">
                  <c:v>0.5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0.5</c:v>
                </c:pt>
                <c:pt idx="37">
                  <c:v>0.2</c:v>
                </c:pt>
                <c:pt idx="38">
                  <c:v>0.5</c:v>
                </c:pt>
                <c:pt idx="39">
                  <c:v>0.2</c:v>
                </c:pt>
                <c:pt idx="40">
                  <c:v>0.5</c:v>
                </c:pt>
                <c:pt idx="41">
                  <c:v>0.2</c:v>
                </c:pt>
                <c:pt idx="42">
                  <c:v>0.5</c:v>
                </c:pt>
                <c:pt idx="43">
                  <c:v>0.2</c:v>
                </c:pt>
                <c:pt idx="44">
                  <c:v>0.5</c:v>
                </c:pt>
                <c:pt idx="45">
                  <c:v>0.2</c:v>
                </c:pt>
                <c:pt idx="46">
                  <c:v>0.5</c:v>
                </c:pt>
                <c:pt idx="47">
                  <c:v>0.8</c:v>
                </c:pt>
                <c:pt idx="48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AD-4666-A75C-52486CDF8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25712"/>
        <c:axId val="479923152"/>
      </c:lineChart>
      <c:catAx>
        <c:axId val="479925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23152"/>
        <c:crosses val="autoZero"/>
        <c:auto val="1"/>
        <c:lblAlgn val="ctr"/>
        <c:lblOffset val="100"/>
        <c:noMultiLvlLbl val="0"/>
      </c:catAx>
      <c:valAx>
        <c:axId val="47992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2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01630218181881"/>
          <c:y val="6.5505387900212361E-2"/>
          <c:w val="0.69803293978056624"/>
          <c:h val="0.6316022936732673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'RCPD probability by hour'!$B$15:$B$62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8.3333333333333329E-2</c:v>
                </c:pt>
                <c:pt idx="5">
                  <c:v>0.10416666666666667</c:v>
                </c:pt>
                <c:pt idx="6">
                  <c:v>0.125</c:v>
                </c:pt>
                <c:pt idx="7">
                  <c:v>0.14583333333333334</c:v>
                </c:pt>
                <c:pt idx="8">
                  <c:v>0.16666666666666666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0.22916666666666666</c:v>
                </c:pt>
                <c:pt idx="12">
                  <c:v>0.25</c:v>
                </c:pt>
                <c:pt idx="13">
                  <c:v>0.27083333333333331</c:v>
                </c:pt>
                <c:pt idx="14">
                  <c:v>0.29166666666666669</c:v>
                </c:pt>
                <c:pt idx="15">
                  <c:v>0.3125</c:v>
                </c:pt>
                <c:pt idx="16">
                  <c:v>0.33333333333333331</c:v>
                </c:pt>
                <c:pt idx="17">
                  <c:v>0.35416666666666669</c:v>
                </c:pt>
                <c:pt idx="18">
                  <c:v>0.375</c:v>
                </c:pt>
                <c:pt idx="19">
                  <c:v>0.39583333333333331</c:v>
                </c:pt>
                <c:pt idx="20">
                  <c:v>0.41666666666666669</c:v>
                </c:pt>
                <c:pt idx="21">
                  <c:v>0.4375</c:v>
                </c:pt>
                <c:pt idx="22">
                  <c:v>0.45833333333333331</c:v>
                </c:pt>
                <c:pt idx="23">
                  <c:v>0.47916666666666669</c:v>
                </c:pt>
                <c:pt idx="24">
                  <c:v>0.5</c:v>
                </c:pt>
                <c:pt idx="25">
                  <c:v>0.52083333333333337</c:v>
                </c:pt>
                <c:pt idx="26">
                  <c:v>0.54166666666666663</c:v>
                </c:pt>
                <c:pt idx="27">
                  <c:v>0.5625</c:v>
                </c:pt>
                <c:pt idx="28">
                  <c:v>0.58333333333333337</c:v>
                </c:pt>
                <c:pt idx="29">
                  <c:v>0.60416666666666663</c:v>
                </c:pt>
                <c:pt idx="30">
                  <c:v>0.625</c:v>
                </c:pt>
                <c:pt idx="31">
                  <c:v>0.64583333333333337</c:v>
                </c:pt>
                <c:pt idx="32">
                  <c:v>0.66666666666666663</c:v>
                </c:pt>
                <c:pt idx="33">
                  <c:v>0.6875</c:v>
                </c:pt>
                <c:pt idx="34">
                  <c:v>0.70833333333333337</c:v>
                </c:pt>
                <c:pt idx="35">
                  <c:v>0.72916666666666663</c:v>
                </c:pt>
                <c:pt idx="36">
                  <c:v>0.75</c:v>
                </c:pt>
                <c:pt idx="37">
                  <c:v>0.77083333333333337</c:v>
                </c:pt>
                <c:pt idx="38">
                  <c:v>0.79166666666666663</c:v>
                </c:pt>
                <c:pt idx="39">
                  <c:v>0.8125</c:v>
                </c:pt>
                <c:pt idx="40">
                  <c:v>0.83333333333333337</c:v>
                </c:pt>
                <c:pt idx="41">
                  <c:v>0.85416666666666663</c:v>
                </c:pt>
                <c:pt idx="42">
                  <c:v>0.875</c:v>
                </c:pt>
                <c:pt idx="43">
                  <c:v>0.89583333333333337</c:v>
                </c:pt>
                <c:pt idx="44">
                  <c:v>0.91666666666666663</c:v>
                </c:pt>
                <c:pt idx="45">
                  <c:v>0.9375</c:v>
                </c:pt>
                <c:pt idx="46">
                  <c:v>0.95833333333333337</c:v>
                </c:pt>
                <c:pt idx="47">
                  <c:v>0.97916666666666663</c:v>
                </c:pt>
              </c:numCache>
            </c:numRef>
          </c:cat>
          <c:val>
            <c:numRef>
              <c:f>'RCPD probability by hour'!$S$15:$S$63</c:f>
              <c:numCache>
                <c:formatCode>0.00</c:formatCode>
                <c:ptCount val="4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0.5</c:v>
                </c:pt>
                <c:pt idx="17">
                  <c:v>0.2</c:v>
                </c:pt>
                <c:pt idx="18">
                  <c:v>0.5</c:v>
                </c:pt>
                <c:pt idx="19">
                  <c:v>0.8</c:v>
                </c:pt>
                <c:pt idx="20">
                  <c:v>0.5</c:v>
                </c:pt>
                <c:pt idx="21">
                  <c:v>0.2</c:v>
                </c:pt>
                <c:pt idx="22">
                  <c:v>0.5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0.5</c:v>
                </c:pt>
                <c:pt idx="38">
                  <c:v>0.2</c:v>
                </c:pt>
                <c:pt idx="39">
                  <c:v>0.5</c:v>
                </c:pt>
                <c:pt idx="40">
                  <c:v>0.2</c:v>
                </c:pt>
                <c:pt idx="41">
                  <c:v>0.5</c:v>
                </c:pt>
                <c:pt idx="42">
                  <c:v>0.2</c:v>
                </c:pt>
                <c:pt idx="43">
                  <c:v>0.5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AD-4666-A75C-52486CDF8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25712"/>
        <c:axId val="479923152"/>
      </c:lineChart>
      <c:catAx>
        <c:axId val="47992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Trading periods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23152"/>
        <c:crosses val="autoZero"/>
        <c:auto val="1"/>
        <c:lblAlgn val="ctr"/>
        <c:lblOffset val="100"/>
        <c:noMultiLvlLbl val="0"/>
      </c:catAx>
      <c:valAx>
        <c:axId val="4799231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State of charge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2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600076</xdr:colOff>
      <xdr:row>26</xdr:row>
      <xdr:rowOff>67626</xdr:rowOff>
    </xdr:from>
    <xdr:to>
      <xdr:col>30</xdr:col>
      <xdr:colOff>123825</xdr:colOff>
      <xdr:row>37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AF26CB-F0A3-4D82-9EA9-81FF32EC8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9526</xdr:colOff>
      <xdr:row>49</xdr:row>
      <xdr:rowOff>48576</xdr:rowOff>
    </xdr:from>
    <xdr:to>
      <xdr:col>30</xdr:col>
      <xdr:colOff>142875</xdr:colOff>
      <xdr:row>60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026AB9-4600-4C15-9D8A-B7DB48850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57151</xdr:colOff>
      <xdr:row>15</xdr:row>
      <xdr:rowOff>951</xdr:rowOff>
    </xdr:from>
    <xdr:to>
      <xdr:col>30</xdr:col>
      <xdr:colOff>190500</xdr:colOff>
      <xdr:row>26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35EC876-43D5-4BA6-9D4A-E304FC7F62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45721</xdr:colOff>
      <xdr:row>37</xdr:row>
      <xdr:rowOff>122871</xdr:rowOff>
    </xdr:from>
    <xdr:to>
      <xdr:col>30</xdr:col>
      <xdr:colOff>179070</xdr:colOff>
      <xdr:row>48</xdr:row>
      <xdr:rowOff>140970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FEC8983-7162-43DE-81E2-44186B701C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485775</xdr:colOff>
      <xdr:row>26</xdr:row>
      <xdr:rowOff>48576</xdr:rowOff>
    </xdr:from>
    <xdr:to>
      <xdr:col>36</xdr:col>
      <xdr:colOff>428624</xdr:colOff>
      <xdr:row>40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F72A691-3D6F-468E-93EA-33E65B4F73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F6EB-A48F-403E-8DFC-529F7E16CB42}">
  <dimension ref="B1:AW109"/>
  <sheetViews>
    <sheetView tabSelected="1" topLeftCell="A67" zoomScale="115" zoomScaleNormal="115" workbookViewId="0">
      <selection activeCell="C92" sqref="C92"/>
    </sheetView>
  </sheetViews>
  <sheetFormatPr defaultColWidth="9.15625" defaultRowHeight="10.5" x14ac:dyDescent="0.4"/>
  <cols>
    <col min="1" max="1" width="9.15625" style="12"/>
    <col min="2" max="2" width="46.15625" style="12" customWidth="1"/>
    <col min="3" max="3" width="15.578125" style="12" bestFit="1" customWidth="1"/>
    <col min="4" max="4" width="9.15625" style="12"/>
    <col min="5" max="5" width="14" style="12" bestFit="1" customWidth="1"/>
    <col min="6" max="6" width="28.26171875" style="12" bestFit="1" customWidth="1"/>
    <col min="7" max="7" width="9.15625" style="12"/>
    <col min="8" max="8" width="14.15625" style="12" customWidth="1"/>
    <col min="9" max="9" width="28.15625" style="12" customWidth="1"/>
    <col min="10" max="16384" width="9.15625" style="12"/>
  </cols>
  <sheetData>
    <row r="1" spans="2:49" x14ac:dyDescent="0.4">
      <c r="B1" s="13" t="s">
        <v>22</v>
      </c>
    </row>
    <row r="2" spans="2:49" x14ac:dyDescent="0.4">
      <c r="B2" s="12" t="s">
        <v>121</v>
      </c>
      <c r="C2" s="12">
        <v>0.08</v>
      </c>
    </row>
    <row r="3" spans="2:49" x14ac:dyDescent="0.4">
      <c r="AW3" s="17">
        <f>+BC5+BL5+BO5</f>
        <v>0</v>
      </c>
    </row>
    <row r="4" spans="2:49" x14ac:dyDescent="0.4">
      <c r="B4" s="39" t="s">
        <v>20</v>
      </c>
      <c r="C4" s="40"/>
    </row>
    <row r="5" spans="2:49" x14ac:dyDescent="0.4">
      <c r="B5" s="12" t="s">
        <v>23</v>
      </c>
      <c r="C5" s="12">
        <v>15</v>
      </c>
      <c r="AW5" s="17">
        <f>+BF43+BI43+BU43</f>
        <v>0</v>
      </c>
    </row>
    <row r="6" spans="2:49" x14ac:dyDescent="0.4">
      <c r="B6" s="12" t="s">
        <v>11</v>
      </c>
      <c r="C6" s="12">
        <v>1</v>
      </c>
    </row>
    <row r="7" spans="2:49" x14ac:dyDescent="0.4">
      <c r="B7" s="12" t="s">
        <v>9</v>
      </c>
      <c r="C7" s="12">
        <v>733</v>
      </c>
    </row>
    <row r="8" spans="2:49" x14ac:dyDescent="0.4">
      <c r="B8" s="12" t="s">
        <v>10</v>
      </c>
      <c r="C8" s="14">
        <v>0.01</v>
      </c>
    </row>
    <row r="9" spans="2:49" x14ac:dyDescent="0.4">
      <c r="B9" s="12" t="s">
        <v>12</v>
      </c>
      <c r="C9" s="12">
        <v>1.29</v>
      </c>
    </row>
    <row r="10" spans="2:49" x14ac:dyDescent="0.4">
      <c r="B10" s="12" t="s">
        <v>13</v>
      </c>
      <c r="C10" s="12">
        <v>0.9</v>
      </c>
    </row>
    <row r="11" spans="2:49" x14ac:dyDescent="0.4">
      <c r="B11" s="12" t="s">
        <v>5</v>
      </c>
      <c r="C11" s="12">
        <v>1</v>
      </c>
    </row>
    <row r="12" spans="2:49" x14ac:dyDescent="0.4">
      <c r="B12" s="12" t="s">
        <v>24</v>
      </c>
      <c r="C12" s="15">
        <f>+(($C8*$C7*1000)/$C$2)*(1-(1/(1+$C$2)^$C$5))</f>
        <v>62740.97878250033</v>
      </c>
    </row>
    <row r="13" spans="2:49" x14ac:dyDescent="0.4">
      <c r="B13" s="41" t="s">
        <v>51</v>
      </c>
      <c r="C13" s="42">
        <f>+C12+(C7*1000)</f>
        <v>795740.97878250037</v>
      </c>
    </row>
    <row r="15" spans="2:49" x14ac:dyDescent="0.4">
      <c r="B15" s="39" t="s">
        <v>82</v>
      </c>
      <c r="C15" s="40"/>
    </row>
    <row r="16" spans="2:49" x14ac:dyDescent="0.4">
      <c r="B16" s="12" t="s">
        <v>14</v>
      </c>
      <c r="C16" s="12">
        <v>0.8</v>
      </c>
    </row>
    <row r="17" spans="2:5" x14ac:dyDescent="0.4">
      <c r="B17" s="12" t="s">
        <v>16</v>
      </c>
      <c r="C17" s="12">
        <v>2</v>
      </c>
    </row>
    <row r="18" spans="2:5" x14ac:dyDescent="0.4">
      <c r="B18" s="12" t="s">
        <v>17</v>
      </c>
      <c r="C18" s="18">
        <f>+C17*C16*C9*365</f>
        <v>753.36</v>
      </c>
    </row>
    <row r="19" spans="2:5" x14ac:dyDescent="0.4">
      <c r="B19" s="12" t="s">
        <v>18</v>
      </c>
      <c r="C19" s="19">
        <v>0.5</v>
      </c>
    </row>
    <row r="20" spans="2:5" x14ac:dyDescent="0.4">
      <c r="B20" s="12" t="s">
        <v>19</v>
      </c>
      <c r="C20" s="18">
        <f>+C18*C19</f>
        <v>376.68</v>
      </c>
    </row>
    <row r="21" spans="2:5" x14ac:dyDescent="0.4">
      <c r="B21" s="12" t="s">
        <v>21</v>
      </c>
      <c r="C21" s="15">
        <f>+(C20/$C$2)*(1-(1/(1+$C$2)^$C$5))</f>
        <v>3224.1844321681069</v>
      </c>
    </row>
    <row r="22" spans="2:5" x14ac:dyDescent="0.4">
      <c r="B22" s="12" t="s">
        <v>58</v>
      </c>
      <c r="C22" s="16">
        <f>+C13/C21</f>
        <v>246.80380279840361</v>
      </c>
    </row>
    <row r="23" spans="2:5" x14ac:dyDescent="0.4">
      <c r="B23" s="12" t="s">
        <v>93</v>
      </c>
      <c r="C23" s="16">
        <v>1</v>
      </c>
    </row>
    <row r="24" spans="2:5" x14ac:dyDescent="0.4">
      <c r="B24" s="21" t="s">
        <v>95</v>
      </c>
      <c r="C24" s="16">
        <v>0</v>
      </c>
    </row>
    <row r="25" spans="2:5" x14ac:dyDescent="0.4">
      <c r="B25" s="55" t="s">
        <v>96</v>
      </c>
      <c r="C25" s="56">
        <v>1</v>
      </c>
    </row>
    <row r="26" spans="2:5" x14ac:dyDescent="0.4">
      <c r="B26" s="52" t="s">
        <v>115</v>
      </c>
      <c r="C26" s="56"/>
      <c r="E26" s="12" t="s">
        <v>123</v>
      </c>
    </row>
    <row r="27" spans="2:5" x14ac:dyDescent="0.4">
      <c r="B27" s="21" t="s">
        <v>116</v>
      </c>
      <c r="C27" s="56">
        <v>0.5</v>
      </c>
      <c r="E27" s="16">
        <f>+C27</f>
        <v>0.5</v>
      </c>
    </row>
    <row r="28" spans="2:5" x14ac:dyDescent="0.4">
      <c r="B28" s="38" t="s">
        <v>98</v>
      </c>
      <c r="C28" s="56">
        <f>+C23*C27</f>
        <v>0.5</v>
      </c>
      <c r="E28" s="16">
        <f>+-C28/C27</f>
        <v>-1</v>
      </c>
    </row>
    <row r="29" spans="2:5" x14ac:dyDescent="0.4">
      <c r="B29" s="38" t="s">
        <v>100</v>
      </c>
      <c r="C29" s="56">
        <v>0</v>
      </c>
    </row>
    <row r="30" spans="2:5" x14ac:dyDescent="0.4">
      <c r="B30" s="38" t="s">
        <v>117</v>
      </c>
      <c r="C30" s="56">
        <f>+C24*C27</f>
        <v>0</v>
      </c>
    </row>
    <row r="31" spans="2:5" x14ac:dyDescent="0.4">
      <c r="B31" s="47" t="s">
        <v>118</v>
      </c>
      <c r="C31" s="61">
        <f>+(C27*C25)/C10</f>
        <v>0.55555555555555558</v>
      </c>
      <c r="D31" s="16"/>
      <c r="E31" s="16">
        <f>+C31/C27</f>
        <v>1.1111111111111112</v>
      </c>
    </row>
    <row r="33" spans="2:3" x14ac:dyDescent="0.4">
      <c r="B33" s="39" t="s">
        <v>122</v>
      </c>
      <c r="C33" s="40"/>
    </row>
    <row r="34" spans="2:3" x14ac:dyDescent="0.4">
      <c r="B34" s="12" t="s">
        <v>14</v>
      </c>
      <c r="C34" s="12">
        <v>0.5</v>
      </c>
    </row>
    <row r="35" spans="2:3" x14ac:dyDescent="0.4">
      <c r="B35" s="12" t="s">
        <v>16</v>
      </c>
      <c r="C35" s="12">
        <f>+'RCPD probability by hour'!G6</f>
        <v>5.375</v>
      </c>
    </row>
    <row r="36" spans="2:3" x14ac:dyDescent="0.4">
      <c r="B36" s="12" t="s">
        <v>54</v>
      </c>
      <c r="C36" s="12">
        <v>6</v>
      </c>
    </row>
    <row r="37" spans="2:3" x14ac:dyDescent="0.4">
      <c r="B37" s="12" t="s">
        <v>17</v>
      </c>
      <c r="C37" s="18">
        <f>+C34*C35*C6*365*(C36/12)</f>
        <v>490.46875</v>
      </c>
    </row>
    <row r="38" spans="2:3" x14ac:dyDescent="0.4">
      <c r="B38" s="12" t="s">
        <v>50</v>
      </c>
      <c r="C38" s="20">
        <f>+'RCPD probability by hour'!G5</f>
        <v>0.63916666666666666</v>
      </c>
    </row>
    <row r="39" spans="2:3" x14ac:dyDescent="0.4">
      <c r="B39" s="12" t="s">
        <v>19</v>
      </c>
      <c r="C39" s="15">
        <f>+C37*C38</f>
        <v>313.49127604166665</v>
      </c>
    </row>
    <row r="40" spans="2:3" x14ac:dyDescent="0.4">
      <c r="B40" s="12" t="s">
        <v>21</v>
      </c>
      <c r="C40" s="15">
        <f>+(C39/$C$2)*(1-(1/(1+$C$2)^$C$5))</f>
        <v>2683.3218961294897</v>
      </c>
    </row>
    <row r="41" spans="2:3" x14ac:dyDescent="0.4">
      <c r="B41" s="21" t="s">
        <v>25</v>
      </c>
      <c r="C41" s="16">
        <f>+C13/C40</f>
        <v>296.55069707823833</v>
      </c>
    </row>
    <row r="42" spans="2:3" x14ac:dyDescent="0.4">
      <c r="B42" s="21" t="s">
        <v>52</v>
      </c>
      <c r="C42" s="16">
        <f>+C41/0.9</f>
        <v>329.5007745313759</v>
      </c>
    </row>
    <row r="43" spans="2:3" x14ac:dyDescent="0.4">
      <c r="B43" s="21" t="s">
        <v>89</v>
      </c>
      <c r="C43" s="15">
        <f>+((800*C38)/$C$2)*(1-(1/(1+$C$2)^$C$5))</f>
        <v>4376.7467690930198</v>
      </c>
    </row>
    <row r="44" spans="2:3" x14ac:dyDescent="0.4">
      <c r="B44" s="21" t="s">
        <v>88</v>
      </c>
      <c r="C44" s="16">
        <f>+C13/C43</f>
        <v>181.81106213449021</v>
      </c>
    </row>
    <row r="45" spans="2:3" x14ac:dyDescent="0.4">
      <c r="B45" s="21" t="s">
        <v>86</v>
      </c>
      <c r="C45" s="16">
        <f>+C44/C10</f>
        <v>202.01229126054469</v>
      </c>
    </row>
    <row r="46" spans="2:3" x14ac:dyDescent="0.4">
      <c r="B46" s="21" t="s">
        <v>87</v>
      </c>
      <c r="C46" s="16">
        <f>+C45/C22</f>
        <v>0.81851368970013028</v>
      </c>
    </row>
    <row r="47" spans="2:3" x14ac:dyDescent="0.4">
      <c r="B47" s="21" t="s">
        <v>93</v>
      </c>
      <c r="C47" s="16">
        <f>+'RCPD probability by hour'!G10</f>
        <v>0.47826086956521741</v>
      </c>
    </row>
    <row r="48" spans="2:3" x14ac:dyDescent="0.4">
      <c r="B48" s="21" t="s">
        <v>95</v>
      </c>
      <c r="C48" s="16">
        <f>+C47/2</f>
        <v>0.2391304347826087</v>
      </c>
    </row>
    <row r="49" spans="2:3" x14ac:dyDescent="0.4">
      <c r="B49" s="43" t="s">
        <v>96</v>
      </c>
      <c r="C49" s="44">
        <f>+C48</f>
        <v>0.2391304347826087</v>
      </c>
    </row>
    <row r="50" spans="2:3" x14ac:dyDescent="0.4">
      <c r="B50" s="21"/>
      <c r="C50" s="16"/>
    </row>
    <row r="51" spans="2:3" x14ac:dyDescent="0.4">
      <c r="B51" s="45" t="s">
        <v>57</v>
      </c>
      <c r="C51" s="46"/>
    </row>
    <row r="52" spans="2:3" x14ac:dyDescent="0.4">
      <c r="B52" s="52" t="s">
        <v>109</v>
      </c>
      <c r="C52" s="53"/>
    </row>
    <row r="53" spans="2:3" x14ac:dyDescent="0.4">
      <c r="B53" s="21" t="s">
        <v>64</v>
      </c>
      <c r="C53" s="17">
        <v>733000</v>
      </c>
    </row>
    <row r="54" spans="2:3" x14ac:dyDescent="0.4">
      <c r="B54" s="21" t="s">
        <v>1</v>
      </c>
      <c r="C54" s="22">
        <f>+C55-C53</f>
        <v>67000</v>
      </c>
    </row>
    <row r="55" spans="2:3" x14ac:dyDescent="0.4">
      <c r="B55" s="21" t="s">
        <v>63</v>
      </c>
      <c r="C55" s="17">
        <v>800000</v>
      </c>
    </row>
    <row r="56" spans="2:3" x14ac:dyDescent="0.4">
      <c r="B56" s="12" t="s">
        <v>12</v>
      </c>
      <c r="C56" s="12">
        <v>1.29</v>
      </c>
    </row>
    <row r="57" spans="2:3" x14ac:dyDescent="0.4">
      <c r="B57" s="12" t="s">
        <v>13</v>
      </c>
      <c r="C57" s="12">
        <v>0.9</v>
      </c>
    </row>
    <row r="58" spans="2:3" x14ac:dyDescent="0.4">
      <c r="B58" s="12" t="s">
        <v>5</v>
      </c>
      <c r="C58" s="12">
        <v>1</v>
      </c>
    </row>
    <row r="59" spans="2:3" x14ac:dyDescent="0.4">
      <c r="B59" s="23" t="s">
        <v>15</v>
      </c>
    </row>
    <row r="60" spans="2:3" x14ac:dyDescent="0.4">
      <c r="B60" s="24" t="s">
        <v>68</v>
      </c>
      <c r="C60" s="18">
        <v>6</v>
      </c>
    </row>
    <row r="61" spans="2:3" x14ac:dyDescent="0.4">
      <c r="B61" s="24" t="s">
        <v>104</v>
      </c>
      <c r="C61" s="20">
        <f>+'RCPD probability by month'!C35/0.5</f>
        <v>0.45069275090942834</v>
      </c>
    </row>
    <row r="62" spans="2:3" x14ac:dyDescent="0.4">
      <c r="B62" s="24" t="s">
        <v>7</v>
      </c>
      <c r="C62" s="12">
        <v>0.8</v>
      </c>
    </row>
    <row r="63" spans="2:3" x14ac:dyDescent="0.4">
      <c r="B63" s="24" t="s">
        <v>6</v>
      </c>
      <c r="C63" s="12">
        <v>2</v>
      </c>
    </row>
    <row r="64" spans="2:3" x14ac:dyDescent="0.4">
      <c r="B64" s="25" t="s">
        <v>17</v>
      </c>
      <c r="C64" s="18">
        <f>+C63*C62*C56*((C61*C60)/12)*365</f>
        <v>169.76694541256347</v>
      </c>
    </row>
    <row r="65" spans="2:4" x14ac:dyDescent="0.4">
      <c r="B65" s="24" t="s">
        <v>65</v>
      </c>
      <c r="C65" s="12">
        <v>0.5</v>
      </c>
    </row>
    <row r="66" spans="2:4" x14ac:dyDescent="0.4">
      <c r="B66" s="24" t="s">
        <v>66</v>
      </c>
      <c r="C66" s="18">
        <f>+C65*C64</f>
        <v>84.883472706281736</v>
      </c>
      <c r="D66" s="18"/>
    </row>
    <row r="67" spans="2:4" x14ac:dyDescent="0.4">
      <c r="B67" s="24" t="s">
        <v>8</v>
      </c>
      <c r="C67" s="15">
        <f>+(C66/$C$2)*(1-(1/(1+$C$2)^$C$5))</f>
        <v>726.55827558659871</v>
      </c>
    </row>
    <row r="68" spans="2:4" x14ac:dyDescent="0.4">
      <c r="B68" s="24" t="s">
        <v>67</v>
      </c>
      <c r="C68" s="18">
        <f>+C55/C67</f>
        <v>1101.0816707773467</v>
      </c>
    </row>
    <row r="69" spans="2:4" x14ac:dyDescent="0.4">
      <c r="B69" s="23" t="s">
        <v>59</v>
      </c>
    </row>
    <row r="70" spans="2:4" x14ac:dyDescent="0.4">
      <c r="B70" s="25" t="s">
        <v>14</v>
      </c>
      <c r="C70" s="12">
        <f>+C34</f>
        <v>0.5</v>
      </c>
    </row>
    <row r="71" spans="2:4" x14ac:dyDescent="0.4">
      <c r="B71" s="25" t="s">
        <v>16</v>
      </c>
      <c r="C71" s="12">
        <f>+C35</f>
        <v>5.375</v>
      </c>
    </row>
    <row r="72" spans="2:4" x14ac:dyDescent="0.4">
      <c r="B72" s="25" t="s">
        <v>54</v>
      </c>
      <c r="C72" s="12">
        <v>6</v>
      </c>
    </row>
    <row r="73" spans="2:4" x14ac:dyDescent="0.4">
      <c r="B73" s="25" t="s">
        <v>17</v>
      </c>
      <c r="C73" s="18">
        <f>+C70*C71*C56*365*(C72/12)</f>
        <v>632.70468749999998</v>
      </c>
    </row>
    <row r="74" spans="2:4" x14ac:dyDescent="0.4">
      <c r="B74" s="25" t="s">
        <v>50</v>
      </c>
      <c r="C74" s="20">
        <f>+'RCPD probability by hour'!G5</f>
        <v>0.63916666666666666</v>
      </c>
    </row>
    <row r="75" spans="2:4" x14ac:dyDescent="0.4">
      <c r="B75" s="25" t="s">
        <v>19</v>
      </c>
      <c r="C75" s="15">
        <f>+C73*C74</f>
        <v>404.40374609374999</v>
      </c>
    </row>
    <row r="76" spans="2:4" x14ac:dyDescent="0.4">
      <c r="B76" s="25" t="s">
        <v>74</v>
      </c>
      <c r="C76" s="15">
        <f>+C75*C57</f>
        <v>363.96337148437499</v>
      </c>
    </row>
    <row r="77" spans="2:4" x14ac:dyDescent="0.4">
      <c r="B77" s="25" t="s">
        <v>21</v>
      </c>
      <c r="C77" s="15">
        <f>+(C76/$C$2)*(1-(1/(1+$C$2)^$C$5))</f>
        <v>3115.3367214063373</v>
      </c>
    </row>
    <row r="78" spans="2:4" x14ac:dyDescent="0.4">
      <c r="B78" s="25" t="s">
        <v>67</v>
      </c>
      <c r="C78" s="22">
        <f>+C55/C77</f>
        <v>256.79407124853617</v>
      </c>
    </row>
    <row r="79" spans="2:4" x14ac:dyDescent="0.4">
      <c r="B79" s="21" t="s">
        <v>75</v>
      </c>
      <c r="C79" s="17">
        <f>+C77+C67</f>
        <v>3841.8949969929363</v>
      </c>
    </row>
    <row r="80" spans="2:4" x14ac:dyDescent="0.4">
      <c r="B80" s="21" t="s">
        <v>0</v>
      </c>
      <c r="C80" s="18">
        <f>+C55/C79</f>
        <v>208.23057387725657</v>
      </c>
    </row>
    <row r="81" spans="2:5" x14ac:dyDescent="0.4">
      <c r="B81" s="54" t="s">
        <v>120</v>
      </c>
      <c r="C81" s="18"/>
    </row>
    <row r="82" spans="2:5" x14ac:dyDescent="0.4">
      <c r="B82" s="21" t="s">
        <v>105</v>
      </c>
      <c r="C82" s="51">
        <f>+'RCPD probability by month'!C37</f>
        <v>3.168529530946828E-2</v>
      </c>
    </row>
    <row r="83" spans="2:5" x14ac:dyDescent="0.4">
      <c r="B83" s="21" t="s">
        <v>108</v>
      </c>
      <c r="C83" s="17">
        <f>+C73+C82*C64</f>
        <v>638.08380329918339</v>
      </c>
    </row>
    <row r="84" spans="2:5" x14ac:dyDescent="0.4">
      <c r="B84" s="12" t="s">
        <v>110</v>
      </c>
      <c r="C84" s="20">
        <f>+C83/800</f>
        <v>0.79760475412397924</v>
      </c>
    </row>
    <row r="85" spans="2:5" x14ac:dyDescent="0.4">
      <c r="B85" s="21" t="s">
        <v>111</v>
      </c>
      <c r="C85" s="20">
        <f>+(C82*C64)/C83</f>
        <v>8.4301086649919352E-3</v>
      </c>
    </row>
    <row r="86" spans="2:5" x14ac:dyDescent="0.4">
      <c r="B86" s="21" t="s">
        <v>112</v>
      </c>
      <c r="C86" s="20">
        <f>1-C85</f>
        <v>0.99156989133500806</v>
      </c>
    </row>
    <row r="87" spans="2:5" x14ac:dyDescent="0.4">
      <c r="B87" s="21" t="s">
        <v>94</v>
      </c>
      <c r="C87" s="20">
        <f>+E107</f>
        <v>0.48265918712956102</v>
      </c>
    </row>
    <row r="88" spans="2:5" x14ac:dyDescent="0.4">
      <c r="B88" s="21" t="s">
        <v>95</v>
      </c>
      <c r="C88" s="20">
        <f>+F108</f>
        <v>0.23711453923228457</v>
      </c>
    </row>
    <row r="89" spans="2:5" x14ac:dyDescent="0.4">
      <c r="B89" s="21" t="s">
        <v>96</v>
      </c>
      <c r="C89" s="20">
        <f>+F109</f>
        <v>0.24554464789727642</v>
      </c>
    </row>
    <row r="90" spans="2:5" x14ac:dyDescent="0.4">
      <c r="B90" s="21" t="s">
        <v>97</v>
      </c>
    </row>
    <row r="91" spans="2:5" x14ac:dyDescent="0.4">
      <c r="B91" s="21" t="s">
        <v>99</v>
      </c>
      <c r="C91" s="49">
        <f>+C84</f>
        <v>0.79760475412397924</v>
      </c>
    </row>
    <row r="92" spans="2:5" x14ac:dyDescent="0.4">
      <c r="B92" s="38" t="s">
        <v>98</v>
      </c>
      <c r="C92" s="49">
        <f>+C87*C91</f>
        <v>0.38497126227615319</v>
      </c>
    </row>
    <row r="93" spans="2:5" x14ac:dyDescent="0.4">
      <c r="B93" s="38" t="s">
        <v>100</v>
      </c>
      <c r="C93" s="49">
        <f>+(1-C87)*C91</f>
        <v>0.41263349184782605</v>
      </c>
    </row>
    <row r="94" spans="2:5" x14ac:dyDescent="0.4">
      <c r="B94" s="38" t="s">
        <v>101</v>
      </c>
      <c r="C94" s="49">
        <f>+C88*C91</f>
        <v>0.18912368376358696</v>
      </c>
    </row>
    <row r="95" spans="2:5" x14ac:dyDescent="0.4">
      <c r="B95" s="38" t="s">
        <v>102</v>
      </c>
      <c r="C95" s="49">
        <f>+C89*C91</f>
        <v>0.19584757851256621</v>
      </c>
    </row>
    <row r="96" spans="2:5" x14ac:dyDescent="0.4">
      <c r="B96" s="21" t="s">
        <v>103</v>
      </c>
      <c r="C96" s="20"/>
      <c r="E96" s="12" t="s">
        <v>124</v>
      </c>
    </row>
    <row r="97" spans="2:6" x14ac:dyDescent="0.4">
      <c r="B97" s="21" t="s">
        <v>99</v>
      </c>
      <c r="C97" s="49">
        <f>C91</f>
        <v>0.79760475412397924</v>
      </c>
      <c r="E97" s="49">
        <f>+C97</f>
        <v>0.79760475412397924</v>
      </c>
    </row>
    <row r="98" spans="2:6" x14ac:dyDescent="0.4">
      <c r="B98" s="38" t="s">
        <v>98</v>
      </c>
      <c r="C98" s="49">
        <f>+(C97-C99)</f>
        <v>0.33912309651528366</v>
      </c>
      <c r="E98" s="49">
        <f>-C98/C97</f>
        <v>-0.42517687458840114</v>
      </c>
    </row>
    <row r="99" spans="2:6" x14ac:dyDescent="0.4">
      <c r="B99" s="38" t="s">
        <v>100</v>
      </c>
      <c r="C99" s="49">
        <f>+C93/0.9</f>
        <v>0.45848165760869558</v>
      </c>
      <c r="E99" s="49"/>
    </row>
    <row r="100" spans="2:6" x14ac:dyDescent="0.4">
      <c r="B100" s="38" t="s">
        <v>101</v>
      </c>
      <c r="C100" s="49">
        <f>+C94/0.9</f>
        <v>0.2101374264039855</v>
      </c>
      <c r="E100" s="49">
        <f>+C100/C97</f>
        <v>0.26346059914698283</v>
      </c>
    </row>
    <row r="101" spans="2:6" x14ac:dyDescent="0.4">
      <c r="B101" s="47" t="s">
        <v>102</v>
      </c>
      <c r="C101" s="57">
        <f>+C95/0.9</f>
        <v>0.21760842056951801</v>
      </c>
      <c r="E101" s="49">
        <f>+C101/C97</f>
        <v>0.27282738655252936</v>
      </c>
    </row>
    <row r="102" spans="2:6" x14ac:dyDescent="0.4">
      <c r="B102" s="21"/>
    </row>
    <row r="103" spans="2:6" x14ac:dyDescent="0.4">
      <c r="B103" s="21"/>
    </row>
    <row r="104" spans="2:6" x14ac:dyDescent="0.4">
      <c r="B104" s="13" t="s">
        <v>119</v>
      </c>
    </row>
    <row r="105" spans="2:6" x14ac:dyDescent="0.4">
      <c r="B105" s="40" t="s">
        <v>15</v>
      </c>
      <c r="C105" s="40" t="s">
        <v>59</v>
      </c>
      <c r="D105" s="40" t="s">
        <v>114</v>
      </c>
      <c r="E105" s="40" t="s">
        <v>94</v>
      </c>
      <c r="F105" s="40" t="s">
        <v>113</v>
      </c>
    </row>
    <row r="106" spans="2:6" x14ac:dyDescent="0.4">
      <c r="B106" s="59">
        <f>+C83-C106</f>
        <v>5.3791157991834098</v>
      </c>
      <c r="C106" s="60">
        <f>+C73</f>
        <v>632.70468749999998</v>
      </c>
      <c r="D106" s="60">
        <f>+C106+B106</f>
        <v>638.08380329918339</v>
      </c>
      <c r="E106" s="58"/>
      <c r="F106" s="58"/>
    </row>
    <row r="107" spans="2:6" x14ac:dyDescent="0.4">
      <c r="B107" s="56">
        <f>+B106-SUM(B108:B109)</f>
        <v>0</v>
      </c>
      <c r="C107" s="56">
        <f>+C106-SUM(C108:C109)</f>
        <v>330.10679347826084</v>
      </c>
      <c r="D107" s="56">
        <f>+C107+B107</f>
        <v>330.10679347826084</v>
      </c>
      <c r="E107" s="56">
        <f>1-(D107/D106)</f>
        <v>0.48265918712956102</v>
      </c>
      <c r="F107" s="48"/>
    </row>
    <row r="108" spans="2:6" x14ac:dyDescent="0.4">
      <c r="B108" s="56">
        <f>+E$81*C36</f>
        <v>0</v>
      </c>
      <c r="C108" s="56">
        <f>+C106*C48</f>
        <v>151.29894701086957</v>
      </c>
      <c r="D108" s="56">
        <f>+C108+B108</f>
        <v>151.29894701086957</v>
      </c>
      <c r="E108" s="48"/>
      <c r="F108" s="48">
        <f>+D108/D106</f>
        <v>0.23711453923228457</v>
      </c>
    </row>
    <row r="109" spans="2:6" x14ac:dyDescent="0.4">
      <c r="B109" s="44">
        <f>+B106*C25</f>
        <v>5.3791157991834098</v>
      </c>
      <c r="C109" s="44">
        <f>+C106*C49</f>
        <v>151.29894701086957</v>
      </c>
      <c r="D109" s="44">
        <f>+C109+B109</f>
        <v>156.67806281005298</v>
      </c>
      <c r="E109" s="41"/>
      <c r="F109" s="41">
        <f>+D109/D106</f>
        <v>0.24554464789727642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CFBF6-20FD-4D77-92E6-26A9DF2BF1F0}">
  <dimension ref="B1:Z63"/>
  <sheetViews>
    <sheetView workbookViewId="0">
      <selection activeCell="C9" sqref="C9"/>
    </sheetView>
  </sheetViews>
  <sheetFormatPr defaultColWidth="9.15625" defaultRowHeight="11.7" x14ac:dyDescent="0.45"/>
  <cols>
    <col min="1" max="1" width="9.15625" style="1"/>
    <col min="2" max="2" width="15.15625" style="1" customWidth="1"/>
    <col min="3" max="9" width="9.15625" style="1"/>
    <col min="10" max="10" width="8.41796875" style="1" customWidth="1"/>
    <col min="11" max="11" width="9.15625" style="1"/>
    <col min="12" max="14" width="9.15625" style="1" customWidth="1"/>
    <col min="15" max="15" width="9.15625" style="1"/>
    <col min="16" max="18" width="9.15625" style="1" customWidth="1"/>
    <col min="19" max="19" width="9.15625" style="1"/>
    <col min="20" max="22" width="9.15625" style="1" customWidth="1"/>
    <col min="23" max="23" width="9.15625" style="1"/>
    <col min="24" max="26" width="9.15625" style="1" customWidth="1"/>
    <col min="27" max="16384" width="9.15625" style="1"/>
  </cols>
  <sheetData>
    <row r="1" spans="2:26" x14ac:dyDescent="0.45">
      <c r="B1" s="5" t="s">
        <v>83</v>
      </c>
    </row>
    <row r="2" spans="2:26" x14ac:dyDescent="0.45">
      <c r="B2" s="1" t="s">
        <v>62</v>
      </c>
      <c r="C2" s="1">
        <v>0.6</v>
      </c>
    </row>
    <row r="4" spans="2:26" x14ac:dyDescent="0.45">
      <c r="B4" s="35"/>
      <c r="C4" s="36" t="s">
        <v>29</v>
      </c>
      <c r="D4" s="36" t="s">
        <v>27</v>
      </c>
      <c r="E4" s="36" t="s">
        <v>30</v>
      </c>
      <c r="F4" s="36" t="s">
        <v>28</v>
      </c>
      <c r="G4" s="36" t="s">
        <v>49</v>
      </c>
    </row>
    <row r="5" spans="2:26" x14ac:dyDescent="0.45">
      <c r="B5" s="1" t="s">
        <v>48</v>
      </c>
      <c r="C5" s="4">
        <f>+SUMPRODUCT(K15:K62,G15:G62)</f>
        <v>0.59333333333333327</v>
      </c>
      <c r="D5" s="4">
        <f>+SUMPRODUCT(L15:L62,H15:H62)</f>
        <v>0.70333333333333337</v>
      </c>
      <c r="E5" s="4">
        <f>+SUMPRODUCT(M15:M62,I15:I62)</f>
        <v>0.55000000000000004</v>
      </c>
      <c r="F5" s="4">
        <f>+SUMPRODUCT(N15:N62,J15:J62)</f>
        <v>0.71000000000000008</v>
      </c>
      <c r="G5" s="4">
        <f>+AVERAGE(C5:F5)</f>
        <v>0.63916666666666666</v>
      </c>
    </row>
    <row r="6" spans="2:26" x14ac:dyDescent="0.45">
      <c r="B6" s="31" t="s">
        <v>85</v>
      </c>
      <c r="C6" s="31">
        <f>+SUM(K15:K62)/2</f>
        <v>4</v>
      </c>
      <c r="D6" s="31">
        <f>+SUM(L15:L62)/2</f>
        <v>3.5</v>
      </c>
      <c r="E6" s="31">
        <f>+SUM(M15:M62)/2</f>
        <v>7</v>
      </c>
      <c r="F6" s="31">
        <f>+SUM(N15:N62)/2</f>
        <v>7</v>
      </c>
      <c r="G6" s="31">
        <f>+AVERAGE(C6:F6)</f>
        <v>5.375</v>
      </c>
    </row>
    <row r="8" spans="2:26" x14ac:dyDescent="0.45">
      <c r="B8" s="1" t="s">
        <v>90</v>
      </c>
      <c r="C8" s="4">
        <f>+SUM(W29:W33)+SUM(W50:W54)</f>
        <v>0.89999999999999991</v>
      </c>
      <c r="D8" s="4">
        <f t="shared" ref="D8:F8" si="0">+SUM(X29:X33)+SUM(X50:X54)</f>
        <v>0.89999999999999991</v>
      </c>
      <c r="E8" s="4">
        <f t="shared" si="0"/>
        <v>0.89999999999999991</v>
      </c>
      <c r="F8" s="4">
        <f t="shared" si="0"/>
        <v>0.89999999999999991</v>
      </c>
      <c r="G8" s="4">
        <f>+AVERAGE(C8:F8)</f>
        <v>0.89999999999999991</v>
      </c>
    </row>
    <row r="9" spans="2:26" x14ac:dyDescent="0.45">
      <c r="B9" s="1" t="s">
        <v>91</v>
      </c>
      <c r="C9" s="1">
        <f>+SUM(O29:O33)+SUM(O50:O54)</f>
        <v>1.5</v>
      </c>
      <c r="D9" s="1">
        <f t="shared" ref="D9:F9" si="1">+SUM(P29:P33)+SUM(P50:P54)</f>
        <v>1.7999999999999998</v>
      </c>
      <c r="E9" s="1">
        <f t="shared" si="1"/>
        <v>1.7999999999999998</v>
      </c>
      <c r="F9" s="1">
        <f t="shared" si="1"/>
        <v>1.7999999999999998</v>
      </c>
      <c r="G9" s="4">
        <f>+AVERAGE(C9:F9)</f>
        <v>1.7249999999999999</v>
      </c>
    </row>
    <row r="10" spans="2:26" x14ac:dyDescent="0.45">
      <c r="B10" s="1" t="s">
        <v>92</v>
      </c>
      <c r="C10" s="37">
        <f>1-C8/C9</f>
        <v>0.4</v>
      </c>
      <c r="D10" s="37">
        <f t="shared" ref="D10:G10" si="2">1-D8/D9</f>
        <v>0.5</v>
      </c>
      <c r="E10" s="37">
        <f t="shared" si="2"/>
        <v>0.5</v>
      </c>
      <c r="F10" s="37">
        <f t="shared" si="2"/>
        <v>0.5</v>
      </c>
      <c r="G10" s="37">
        <f t="shared" si="2"/>
        <v>0.47826086956521741</v>
      </c>
    </row>
    <row r="11" spans="2:26" x14ac:dyDescent="0.45">
      <c r="C11" s="4"/>
    </row>
    <row r="13" spans="2:26" x14ac:dyDescent="0.45">
      <c r="C13" s="1" t="s">
        <v>45</v>
      </c>
      <c r="G13" s="1" t="s">
        <v>46</v>
      </c>
      <c r="K13" s="1" t="s">
        <v>47</v>
      </c>
      <c r="O13" s="1" t="s">
        <v>60</v>
      </c>
      <c r="S13" s="1" t="s">
        <v>61</v>
      </c>
      <c r="W13" s="1" t="s">
        <v>84</v>
      </c>
    </row>
    <row r="14" spans="2:26" x14ac:dyDescent="0.45">
      <c r="B14" s="6" t="s">
        <v>26</v>
      </c>
      <c r="C14" s="6" t="s">
        <v>29</v>
      </c>
      <c r="D14" s="6" t="s">
        <v>27</v>
      </c>
      <c r="E14" s="6" t="s">
        <v>30</v>
      </c>
      <c r="F14" s="6" t="s">
        <v>28</v>
      </c>
      <c r="G14" s="6" t="s">
        <v>29</v>
      </c>
      <c r="H14" s="6" t="s">
        <v>27</v>
      </c>
      <c r="I14" s="6" t="s">
        <v>30</v>
      </c>
      <c r="J14" s="6" t="s">
        <v>28</v>
      </c>
      <c r="K14" s="6" t="s">
        <v>29</v>
      </c>
      <c r="L14" s="6" t="s">
        <v>27</v>
      </c>
      <c r="M14" s="6" t="s">
        <v>30</v>
      </c>
      <c r="N14" s="6" t="s">
        <v>28</v>
      </c>
      <c r="O14" s="6" t="s">
        <v>29</v>
      </c>
      <c r="P14" s="6" t="s">
        <v>27</v>
      </c>
      <c r="Q14" s="6" t="s">
        <v>30</v>
      </c>
      <c r="R14" s="6" t="s">
        <v>28</v>
      </c>
      <c r="S14" s="6" t="s">
        <v>29</v>
      </c>
      <c r="T14" s="6" t="s">
        <v>27</v>
      </c>
      <c r="U14" s="6" t="s">
        <v>30</v>
      </c>
      <c r="V14" s="6" t="s">
        <v>28</v>
      </c>
      <c r="W14" s="6" t="s">
        <v>29</v>
      </c>
      <c r="X14" s="6" t="s">
        <v>27</v>
      </c>
      <c r="Y14" s="6" t="s">
        <v>30</v>
      </c>
      <c r="Z14" s="6" t="s">
        <v>28</v>
      </c>
    </row>
    <row r="15" spans="2:26" x14ac:dyDescent="0.45">
      <c r="B15" s="9">
        <v>0</v>
      </c>
      <c r="C15" s="1">
        <v>0</v>
      </c>
      <c r="D15" s="1">
        <v>0</v>
      </c>
      <c r="E15" s="1">
        <v>0</v>
      </c>
      <c r="F15" s="1">
        <v>0</v>
      </c>
      <c r="G15" s="11">
        <f>+C15/C$63</f>
        <v>0</v>
      </c>
      <c r="H15" s="11">
        <f t="shared" ref="H15:J15" si="3">+D15/D$63</f>
        <v>0</v>
      </c>
      <c r="I15" s="11">
        <f t="shared" si="3"/>
        <v>0</v>
      </c>
      <c r="J15" s="11">
        <f t="shared" si="3"/>
        <v>0</v>
      </c>
      <c r="K15" s="1">
        <v>0</v>
      </c>
      <c r="L15" s="1">
        <v>0</v>
      </c>
      <c r="M15" s="1">
        <v>0</v>
      </c>
      <c r="N15" s="1">
        <v>0</v>
      </c>
      <c r="O15" s="1">
        <f t="shared" ref="O15:O46" si="4">+K15*$C$2*0.5</f>
        <v>0</v>
      </c>
      <c r="P15" s="1">
        <f t="shared" ref="P15:P46" si="5">+L15*$C$2*0.5</f>
        <v>0</v>
      </c>
      <c r="Q15" s="1">
        <f t="shared" ref="Q15:Q46" si="6">+M15*$C$2*0.5</f>
        <v>0</v>
      </c>
      <c r="R15" s="1">
        <f t="shared" ref="R15:R46" si="7">+N15*$C$2*0.5</f>
        <v>0</v>
      </c>
      <c r="S15" s="4">
        <v>0.8</v>
      </c>
      <c r="T15" s="4">
        <v>0.8</v>
      </c>
      <c r="U15" s="4">
        <v>0.8</v>
      </c>
      <c r="V15" s="4">
        <v>0.8</v>
      </c>
      <c r="W15" s="1">
        <v>0</v>
      </c>
      <c r="X15" s="1">
        <v>0</v>
      </c>
      <c r="Y15" s="1">
        <v>0</v>
      </c>
      <c r="Z15" s="1">
        <v>0</v>
      </c>
    </row>
    <row r="16" spans="2:26" x14ac:dyDescent="0.45">
      <c r="B16" s="9">
        <v>2.0833333333333332E-2</v>
      </c>
      <c r="C16" s="1">
        <v>0</v>
      </c>
      <c r="D16" s="1">
        <v>0</v>
      </c>
      <c r="E16" s="1">
        <v>0</v>
      </c>
      <c r="F16" s="1">
        <v>0</v>
      </c>
      <c r="G16" s="11">
        <f t="shared" ref="G16:G63" si="8">+C16/C$63</f>
        <v>0</v>
      </c>
      <c r="H16" s="11">
        <f t="shared" ref="H16:H63" si="9">+D16/D$63</f>
        <v>0</v>
      </c>
      <c r="I16" s="11">
        <f t="shared" ref="I16:I63" si="10">+E16/E$63</f>
        <v>0</v>
      </c>
      <c r="J16" s="11">
        <f t="shared" ref="J16:J63" si="11">+F16/F$63</f>
        <v>0</v>
      </c>
      <c r="K16" s="1">
        <v>0</v>
      </c>
      <c r="L16" s="1">
        <v>0</v>
      </c>
      <c r="M16" s="1">
        <v>0</v>
      </c>
      <c r="N16" s="1">
        <v>0</v>
      </c>
      <c r="O16" s="1">
        <f t="shared" si="4"/>
        <v>0</v>
      </c>
      <c r="P16" s="1">
        <f t="shared" si="5"/>
        <v>0</v>
      </c>
      <c r="Q16" s="1">
        <f t="shared" si="6"/>
        <v>0</v>
      </c>
      <c r="R16" s="1">
        <f t="shared" si="7"/>
        <v>0</v>
      </c>
      <c r="S16" s="4">
        <f>+IF(AND(K15=0,S15=0.8),0.8,IF(K15=1,S15-O15,S15+W15))</f>
        <v>0.8</v>
      </c>
      <c r="T16" s="4">
        <f>+IF(AND(L15=0,T15=0.8),0.8,IF(L15=1,T15-P15,T15+X15))</f>
        <v>0.8</v>
      </c>
      <c r="U16" s="4">
        <f t="shared" ref="U16:V31" si="12">+IF(AND(M15=0,U15=0.8),0.8,IF(M15=1,U15-Q15,U15+Y15))</f>
        <v>0.8</v>
      </c>
      <c r="V16" s="4">
        <f t="shared" si="12"/>
        <v>0.8</v>
      </c>
      <c r="W16" s="1">
        <f>+IF(AND((S15+W15)&lt;0.8,K16=0),$C$2*0.5,0)</f>
        <v>0</v>
      </c>
      <c r="X16" s="1">
        <f t="shared" ref="X16:Z31" si="13">+IF(AND((T15+X15)&lt;0.8,L16=0),$C$2*0.5,0)</f>
        <v>0</v>
      </c>
      <c r="Y16" s="1">
        <f t="shared" si="13"/>
        <v>0</v>
      </c>
      <c r="Z16" s="1">
        <f t="shared" si="13"/>
        <v>0</v>
      </c>
    </row>
    <row r="17" spans="2:26" x14ac:dyDescent="0.45">
      <c r="B17" s="9">
        <v>4.1666666666666664E-2</v>
      </c>
      <c r="C17" s="1">
        <v>0</v>
      </c>
      <c r="D17" s="1">
        <v>0</v>
      </c>
      <c r="E17" s="1">
        <v>0</v>
      </c>
      <c r="F17" s="1">
        <v>0</v>
      </c>
      <c r="G17" s="11">
        <f t="shared" si="8"/>
        <v>0</v>
      </c>
      <c r="H17" s="11">
        <f t="shared" si="9"/>
        <v>0</v>
      </c>
      <c r="I17" s="11">
        <f t="shared" si="10"/>
        <v>0</v>
      </c>
      <c r="J17" s="11">
        <f t="shared" si="11"/>
        <v>0</v>
      </c>
      <c r="K17" s="1">
        <v>0</v>
      </c>
      <c r="L17" s="1">
        <v>0</v>
      </c>
      <c r="M17" s="1">
        <v>0</v>
      </c>
      <c r="N17" s="1">
        <v>0</v>
      </c>
      <c r="O17" s="1">
        <f t="shared" si="4"/>
        <v>0</v>
      </c>
      <c r="P17" s="1">
        <f t="shared" si="5"/>
        <v>0</v>
      </c>
      <c r="Q17" s="1">
        <f t="shared" si="6"/>
        <v>0</v>
      </c>
      <c r="R17" s="1">
        <f t="shared" si="7"/>
        <v>0</v>
      </c>
      <c r="S17" s="4">
        <f t="shared" ref="S17:T63" si="14">+IF(AND(K16=0,S16=0.8),0.8,IF(K16=1,S16-O16,S16+W16))</f>
        <v>0.8</v>
      </c>
      <c r="T17" s="4">
        <f t="shared" si="14"/>
        <v>0.8</v>
      </c>
      <c r="U17" s="4">
        <f t="shared" si="12"/>
        <v>0.8</v>
      </c>
      <c r="V17" s="4">
        <f t="shared" si="12"/>
        <v>0.8</v>
      </c>
      <c r="W17" s="1">
        <f t="shared" ref="W17:W63" si="15">+IF(AND((S16+W16)&lt;0.8,K17=0),$C$2*0.5,0)</f>
        <v>0</v>
      </c>
      <c r="X17" s="1">
        <f t="shared" si="13"/>
        <v>0</v>
      </c>
      <c r="Y17" s="1">
        <f t="shared" si="13"/>
        <v>0</v>
      </c>
      <c r="Z17" s="1">
        <f t="shared" si="13"/>
        <v>0</v>
      </c>
    </row>
    <row r="18" spans="2:26" x14ac:dyDescent="0.45">
      <c r="B18" s="9">
        <v>6.25E-2</v>
      </c>
      <c r="C18" s="1">
        <v>0</v>
      </c>
      <c r="D18" s="1">
        <v>0</v>
      </c>
      <c r="E18" s="1">
        <v>0</v>
      </c>
      <c r="F18" s="1">
        <v>0</v>
      </c>
      <c r="G18" s="11">
        <f t="shared" si="8"/>
        <v>0</v>
      </c>
      <c r="H18" s="11">
        <f t="shared" si="9"/>
        <v>0</v>
      </c>
      <c r="I18" s="11">
        <f t="shared" si="10"/>
        <v>0</v>
      </c>
      <c r="J18" s="11">
        <f t="shared" si="11"/>
        <v>0</v>
      </c>
      <c r="K18" s="1">
        <v>0</v>
      </c>
      <c r="L18" s="1">
        <v>0</v>
      </c>
      <c r="M18" s="1">
        <v>0</v>
      </c>
      <c r="N18" s="1">
        <v>0</v>
      </c>
      <c r="O18" s="1">
        <f t="shared" si="4"/>
        <v>0</v>
      </c>
      <c r="P18" s="1">
        <f t="shared" si="5"/>
        <v>0</v>
      </c>
      <c r="Q18" s="1">
        <f t="shared" si="6"/>
        <v>0</v>
      </c>
      <c r="R18" s="1">
        <f t="shared" si="7"/>
        <v>0</v>
      </c>
      <c r="S18" s="4">
        <f t="shared" si="14"/>
        <v>0.8</v>
      </c>
      <c r="T18" s="4">
        <f t="shared" si="14"/>
        <v>0.8</v>
      </c>
      <c r="U18" s="4">
        <f t="shared" si="12"/>
        <v>0.8</v>
      </c>
      <c r="V18" s="4">
        <f t="shared" si="12"/>
        <v>0.8</v>
      </c>
      <c r="W18" s="1">
        <f t="shared" si="15"/>
        <v>0</v>
      </c>
      <c r="X18" s="1">
        <f t="shared" si="13"/>
        <v>0</v>
      </c>
      <c r="Y18" s="1">
        <f t="shared" si="13"/>
        <v>0</v>
      </c>
      <c r="Z18" s="1">
        <f t="shared" si="13"/>
        <v>0</v>
      </c>
    </row>
    <row r="19" spans="2:26" x14ac:dyDescent="0.45">
      <c r="B19" s="9">
        <v>8.3333333333333329E-2</v>
      </c>
      <c r="C19" s="1">
        <v>0</v>
      </c>
      <c r="D19" s="1">
        <v>0</v>
      </c>
      <c r="E19" s="1">
        <v>0</v>
      </c>
      <c r="F19" s="1">
        <v>0</v>
      </c>
      <c r="G19" s="11">
        <f t="shared" si="8"/>
        <v>0</v>
      </c>
      <c r="H19" s="11">
        <f t="shared" si="9"/>
        <v>0</v>
      </c>
      <c r="I19" s="11">
        <f t="shared" si="10"/>
        <v>0</v>
      </c>
      <c r="J19" s="11">
        <f t="shared" si="11"/>
        <v>0</v>
      </c>
      <c r="K19" s="1">
        <v>0</v>
      </c>
      <c r="L19" s="1">
        <v>0</v>
      </c>
      <c r="M19" s="1">
        <v>0</v>
      </c>
      <c r="N19" s="1">
        <v>0</v>
      </c>
      <c r="O19" s="1">
        <f t="shared" si="4"/>
        <v>0</v>
      </c>
      <c r="P19" s="1">
        <f t="shared" si="5"/>
        <v>0</v>
      </c>
      <c r="Q19" s="1">
        <f t="shared" si="6"/>
        <v>0</v>
      </c>
      <c r="R19" s="1">
        <f t="shared" si="7"/>
        <v>0</v>
      </c>
      <c r="S19" s="4">
        <f t="shared" si="14"/>
        <v>0.8</v>
      </c>
      <c r="T19" s="4">
        <f t="shared" si="14"/>
        <v>0.8</v>
      </c>
      <c r="U19" s="4">
        <f t="shared" si="12"/>
        <v>0.8</v>
      </c>
      <c r="V19" s="4">
        <f t="shared" si="12"/>
        <v>0.8</v>
      </c>
      <c r="W19" s="1">
        <f t="shared" si="15"/>
        <v>0</v>
      </c>
      <c r="X19" s="1">
        <f t="shared" si="13"/>
        <v>0</v>
      </c>
      <c r="Y19" s="1">
        <f t="shared" si="13"/>
        <v>0</v>
      </c>
      <c r="Z19" s="1">
        <f t="shared" si="13"/>
        <v>0</v>
      </c>
    </row>
    <row r="20" spans="2:26" x14ac:dyDescent="0.45">
      <c r="B20" s="9">
        <v>0.10416666666666667</v>
      </c>
      <c r="C20" s="1">
        <v>0</v>
      </c>
      <c r="D20" s="1">
        <v>0</v>
      </c>
      <c r="E20" s="1">
        <v>0</v>
      </c>
      <c r="F20" s="1">
        <v>0</v>
      </c>
      <c r="G20" s="11">
        <f t="shared" si="8"/>
        <v>0</v>
      </c>
      <c r="H20" s="11">
        <f t="shared" si="9"/>
        <v>0</v>
      </c>
      <c r="I20" s="11">
        <f t="shared" si="10"/>
        <v>0</v>
      </c>
      <c r="J20" s="11">
        <f t="shared" si="11"/>
        <v>0</v>
      </c>
      <c r="K20" s="1">
        <v>0</v>
      </c>
      <c r="L20" s="1">
        <v>0</v>
      </c>
      <c r="M20" s="1">
        <v>0</v>
      </c>
      <c r="N20" s="1">
        <v>0</v>
      </c>
      <c r="O20" s="1">
        <f t="shared" si="4"/>
        <v>0</v>
      </c>
      <c r="P20" s="1">
        <f t="shared" si="5"/>
        <v>0</v>
      </c>
      <c r="Q20" s="1">
        <f t="shared" si="6"/>
        <v>0</v>
      </c>
      <c r="R20" s="1">
        <f t="shared" si="7"/>
        <v>0</v>
      </c>
      <c r="S20" s="4">
        <f t="shared" si="14"/>
        <v>0.8</v>
      </c>
      <c r="T20" s="4">
        <f t="shared" si="14"/>
        <v>0.8</v>
      </c>
      <c r="U20" s="4">
        <f t="shared" si="12"/>
        <v>0.8</v>
      </c>
      <c r="V20" s="4">
        <f t="shared" si="12"/>
        <v>0.8</v>
      </c>
      <c r="W20" s="1">
        <f t="shared" si="15"/>
        <v>0</v>
      </c>
      <c r="X20" s="1">
        <f t="shared" si="13"/>
        <v>0</v>
      </c>
      <c r="Y20" s="1">
        <f t="shared" si="13"/>
        <v>0</v>
      </c>
      <c r="Z20" s="1">
        <f t="shared" si="13"/>
        <v>0</v>
      </c>
    </row>
    <row r="21" spans="2:26" x14ac:dyDescent="0.45">
      <c r="B21" s="9">
        <v>0.125</v>
      </c>
      <c r="C21" s="1">
        <v>0</v>
      </c>
      <c r="D21" s="1">
        <v>0</v>
      </c>
      <c r="E21" s="1">
        <v>0</v>
      </c>
      <c r="F21" s="1">
        <v>0</v>
      </c>
      <c r="G21" s="11">
        <f t="shared" si="8"/>
        <v>0</v>
      </c>
      <c r="H21" s="11">
        <f t="shared" si="9"/>
        <v>0</v>
      </c>
      <c r="I21" s="11">
        <f t="shared" si="10"/>
        <v>0</v>
      </c>
      <c r="J21" s="11">
        <f t="shared" si="11"/>
        <v>0</v>
      </c>
      <c r="K21" s="1">
        <v>0</v>
      </c>
      <c r="L21" s="1">
        <v>0</v>
      </c>
      <c r="M21" s="1">
        <v>0</v>
      </c>
      <c r="N21" s="1">
        <v>0</v>
      </c>
      <c r="O21" s="1">
        <f t="shared" si="4"/>
        <v>0</v>
      </c>
      <c r="P21" s="1">
        <f t="shared" si="5"/>
        <v>0</v>
      </c>
      <c r="Q21" s="1">
        <f t="shared" si="6"/>
        <v>0</v>
      </c>
      <c r="R21" s="1">
        <f t="shared" si="7"/>
        <v>0</v>
      </c>
      <c r="S21" s="4">
        <f t="shared" si="14"/>
        <v>0.8</v>
      </c>
      <c r="T21" s="4">
        <f t="shared" si="14"/>
        <v>0.8</v>
      </c>
      <c r="U21" s="4">
        <f t="shared" si="12"/>
        <v>0.8</v>
      </c>
      <c r="V21" s="4">
        <f t="shared" si="12"/>
        <v>0.8</v>
      </c>
      <c r="W21" s="1">
        <f t="shared" si="15"/>
        <v>0</v>
      </c>
      <c r="X21" s="1">
        <f t="shared" si="13"/>
        <v>0</v>
      </c>
      <c r="Y21" s="1">
        <f t="shared" si="13"/>
        <v>0</v>
      </c>
      <c r="Z21" s="1">
        <f t="shared" si="13"/>
        <v>0</v>
      </c>
    </row>
    <row r="22" spans="2:26" x14ac:dyDescent="0.45">
      <c r="B22" s="9">
        <v>0.14583333333333334</v>
      </c>
      <c r="C22" s="1">
        <v>0</v>
      </c>
      <c r="D22" s="1">
        <v>0</v>
      </c>
      <c r="E22" s="1">
        <v>0</v>
      </c>
      <c r="F22" s="1">
        <v>0</v>
      </c>
      <c r="G22" s="11">
        <f t="shared" si="8"/>
        <v>0</v>
      </c>
      <c r="H22" s="11">
        <f t="shared" si="9"/>
        <v>0</v>
      </c>
      <c r="I22" s="11">
        <f t="shared" si="10"/>
        <v>0</v>
      </c>
      <c r="J22" s="11">
        <f t="shared" si="11"/>
        <v>0</v>
      </c>
      <c r="K22" s="1">
        <v>0</v>
      </c>
      <c r="L22" s="1">
        <v>0</v>
      </c>
      <c r="M22" s="1">
        <v>0</v>
      </c>
      <c r="N22" s="1">
        <v>0</v>
      </c>
      <c r="O22" s="1">
        <f t="shared" si="4"/>
        <v>0</v>
      </c>
      <c r="P22" s="1">
        <f t="shared" si="5"/>
        <v>0</v>
      </c>
      <c r="Q22" s="1">
        <f t="shared" si="6"/>
        <v>0</v>
      </c>
      <c r="R22" s="1">
        <f t="shared" si="7"/>
        <v>0</v>
      </c>
      <c r="S22" s="4">
        <f t="shared" si="14"/>
        <v>0.8</v>
      </c>
      <c r="T22" s="4">
        <f t="shared" si="14"/>
        <v>0.8</v>
      </c>
      <c r="U22" s="4">
        <f t="shared" si="12"/>
        <v>0.8</v>
      </c>
      <c r="V22" s="4">
        <f t="shared" si="12"/>
        <v>0.8</v>
      </c>
      <c r="W22" s="1">
        <f t="shared" si="15"/>
        <v>0</v>
      </c>
      <c r="X22" s="1">
        <f t="shared" si="13"/>
        <v>0</v>
      </c>
      <c r="Y22" s="1">
        <f t="shared" si="13"/>
        <v>0</v>
      </c>
      <c r="Z22" s="1">
        <f t="shared" si="13"/>
        <v>0</v>
      </c>
    </row>
    <row r="23" spans="2:26" x14ac:dyDescent="0.45">
      <c r="B23" s="9">
        <v>0.16666666666666666</v>
      </c>
      <c r="C23" s="1">
        <v>0</v>
      </c>
      <c r="D23" s="1">
        <v>0</v>
      </c>
      <c r="E23" s="1">
        <v>0</v>
      </c>
      <c r="F23" s="1">
        <v>0</v>
      </c>
      <c r="G23" s="11">
        <f t="shared" si="8"/>
        <v>0</v>
      </c>
      <c r="H23" s="11">
        <f t="shared" si="9"/>
        <v>0</v>
      </c>
      <c r="I23" s="11">
        <f t="shared" si="10"/>
        <v>0</v>
      </c>
      <c r="J23" s="11">
        <f t="shared" si="11"/>
        <v>0</v>
      </c>
      <c r="K23" s="1">
        <v>0</v>
      </c>
      <c r="L23" s="1">
        <v>0</v>
      </c>
      <c r="M23" s="1">
        <v>0</v>
      </c>
      <c r="N23" s="1">
        <v>0</v>
      </c>
      <c r="O23" s="1">
        <f t="shared" si="4"/>
        <v>0</v>
      </c>
      <c r="P23" s="1">
        <f t="shared" si="5"/>
        <v>0</v>
      </c>
      <c r="Q23" s="1">
        <f t="shared" si="6"/>
        <v>0</v>
      </c>
      <c r="R23" s="1">
        <f t="shared" si="7"/>
        <v>0</v>
      </c>
      <c r="S23" s="4">
        <f t="shared" si="14"/>
        <v>0.8</v>
      </c>
      <c r="T23" s="4">
        <f t="shared" si="14"/>
        <v>0.8</v>
      </c>
      <c r="U23" s="4">
        <f t="shared" si="12"/>
        <v>0.8</v>
      </c>
      <c r="V23" s="4">
        <f t="shared" si="12"/>
        <v>0.8</v>
      </c>
      <c r="W23" s="1">
        <f t="shared" si="15"/>
        <v>0</v>
      </c>
      <c r="X23" s="1">
        <f t="shared" si="13"/>
        <v>0</v>
      </c>
      <c r="Y23" s="1">
        <f t="shared" si="13"/>
        <v>0</v>
      </c>
      <c r="Z23" s="1">
        <f t="shared" si="13"/>
        <v>0</v>
      </c>
    </row>
    <row r="24" spans="2:26" x14ac:dyDescent="0.45">
      <c r="B24" s="9">
        <v>0.1875</v>
      </c>
      <c r="C24" s="1">
        <v>0</v>
      </c>
      <c r="D24" s="1">
        <v>0</v>
      </c>
      <c r="E24" s="1">
        <v>0</v>
      </c>
      <c r="F24" s="1">
        <v>0</v>
      </c>
      <c r="G24" s="11">
        <f t="shared" si="8"/>
        <v>0</v>
      </c>
      <c r="H24" s="11">
        <f t="shared" si="9"/>
        <v>0</v>
      </c>
      <c r="I24" s="11">
        <f t="shared" si="10"/>
        <v>0</v>
      </c>
      <c r="J24" s="11">
        <f t="shared" si="11"/>
        <v>0</v>
      </c>
      <c r="K24" s="1">
        <v>0</v>
      </c>
      <c r="L24" s="1">
        <v>0</v>
      </c>
      <c r="M24" s="1">
        <v>0</v>
      </c>
      <c r="N24" s="1">
        <v>0</v>
      </c>
      <c r="O24" s="1">
        <f t="shared" si="4"/>
        <v>0</v>
      </c>
      <c r="P24" s="1">
        <f t="shared" si="5"/>
        <v>0</v>
      </c>
      <c r="Q24" s="1">
        <f t="shared" si="6"/>
        <v>0</v>
      </c>
      <c r="R24" s="1">
        <f t="shared" si="7"/>
        <v>0</v>
      </c>
      <c r="S24" s="4">
        <f t="shared" si="14"/>
        <v>0.8</v>
      </c>
      <c r="T24" s="4">
        <f t="shared" si="14"/>
        <v>0.8</v>
      </c>
      <c r="U24" s="4">
        <f t="shared" si="12"/>
        <v>0.8</v>
      </c>
      <c r="V24" s="4">
        <f t="shared" si="12"/>
        <v>0.8</v>
      </c>
      <c r="W24" s="1">
        <f t="shared" si="15"/>
        <v>0</v>
      </c>
      <c r="X24" s="1">
        <f t="shared" si="13"/>
        <v>0</v>
      </c>
      <c r="Y24" s="1">
        <f t="shared" si="13"/>
        <v>0</v>
      </c>
      <c r="Z24" s="1">
        <f t="shared" si="13"/>
        <v>0</v>
      </c>
    </row>
    <row r="25" spans="2:26" x14ac:dyDescent="0.45">
      <c r="B25" s="9">
        <v>0.20833333333333334</v>
      </c>
      <c r="C25" s="1">
        <v>0</v>
      </c>
      <c r="D25" s="1">
        <v>0</v>
      </c>
      <c r="E25" s="1">
        <v>0</v>
      </c>
      <c r="F25" s="1">
        <v>0</v>
      </c>
      <c r="G25" s="11">
        <f t="shared" si="8"/>
        <v>0</v>
      </c>
      <c r="H25" s="11">
        <f t="shared" si="9"/>
        <v>0</v>
      </c>
      <c r="I25" s="11">
        <f t="shared" si="10"/>
        <v>0</v>
      </c>
      <c r="J25" s="11">
        <f t="shared" si="11"/>
        <v>0</v>
      </c>
      <c r="K25" s="1">
        <v>0</v>
      </c>
      <c r="L25" s="1">
        <v>0</v>
      </c>
      <c r="M25" s="1">
        <v>0</v>
      </c>
      <c r="N25" s="1">
        <v>0</v>
      </c>
      <c r="O25" s="1">
        <f t="shared" si="4"/>
        <v>0</v>
      </c>
      <c r="P25" s="1">
        <f t="shared" si="5"/>
        <v>0</v>
      </c>
      <c r="Q25" s="1">
        <f t="shared" si="6"/>
        <v>0</v>
      </c>
      <c r="R25" s="1">
        <f t="shared" si="7"/>
        <v>0</v>
      </c>
      <c r="S25" s="4">
        <f t="shared" si="14"/>
        <v>0.8</v>
      </c>
      <c r="T25" s="4">
        <f t="shared" si="14"/>
        <v>0.8</v>
      </c>
      <c r="U25" s="4">
        <f t="shared" si="12"/>
        <v>0.8</v>
      </c>
      <c r="V25" s="4">
        <f t="shared" si="12"/>
        <v>0.8</v>
      </c>
      <c r="W25" s="1">
        <f t="shared" si="15"/>
        <v>0</v>
      </c>
      <c r="X25" s="1">
        <f t="shared" si="13"/>
        <v>0</v>
      </c>
      <c r="Y25" s="1">
        <f t="shared" si="13"/>
        <v>0</v>
      </c>
      <c r="Z25" s="1">
        <f t="shared" si="13"/>
        <v>0</v>
      </c>
    </row>
    <row r="26" spans="2:26" x14ac:dyDescent="0.45">
      <c r="B26" s="9">
        <v>0.22916666666666666</v>
      </c>
      <c r="C26" s="1">
        <v>0</v>
      </c>
      <c r="D26" s="1">
        <v>0</v>
      </c>
      <c r="E26" s="1">
        <v>0</v>
      </c>
      <c r="F26" s="1">
        <v>0</v>
      </c>
      <c r="G26" s="11">
        <f t="shared" si="8"/>
        <v>0</v>
      </c>
      <c r="H26" s="11">
        <f t="shared" si="9"/>
        <v>0</v>
      </c>
      <c r="I26" s="11">
        <f t="shared" si="10"/>
        <v>0</v>
      </c>
      <c r="J26" s="11">
        <f t="shared" si="11"/>
        <v>0</v>
      </c>
      <c r="K26" s="1">
        <v>0</v>
      </c>
      <c r="L26" s="1">
        <v>0</v>
      </c>
      <c r="M26" s="1">
        <v>0</v>
      </c>
      <c r="N26" s="1">
        <v>0</v>
      </c>
      <c r="O26" s="1">
        <f t="shared" si="4"/>
        <v>0</v>
      </c>
      <c r="P26" s="1">
        <f t="shared" si="5"/>
        <v>0</v>
      </c>
      <c r="Q26" s="1">
        <f t="shared" si="6"/>
        <v>0</v>
      </c>
      <c r="R26" s="1">
        <f t="shared" si="7"/>
        <v>0</v>
      </c>
      <c r="S26" s="4">
        <f t="shared" si="14"/>
        <v>0.8</v>
      </c>
      <c r="T26" s="4">
        <f t="shared" si="14"/>
        <v>0.8</v>
      </c>
      <c r="U26" s="4">
        <f t="shared" si="12"/>
        <v>0.8</v>
      </c>
      <c r="V26" s="4">
        <f t="shared" si="12"/>
        <v>0.8</v>
      </c>
      <c r="W26" s="1">
        <f t="shared" si="15"/>
        <v>0</v>
      </c>
      <c r="X26" s="1">
        <f t="shared" si="13"/>
        <v>0</v>
      </c>
      <c r="Y26" s="1">
        <f t="shared" si="13"/>
        <v>0</v>
      </c>
      <c r="Z26" s="1">
        <f t="shared" si="13"/>
        <v>0</v>
      </c>
    </row>
    <row r="27" spans="2:26" x14ac:dyDescent="0.45">
      <c r="B27" s="9">
        <v>0.25</v>
      </c>
      <c r="C27" s="1">
        <v>0</v>
      </c>
      <c r="D27" s="1">
        <v>0</v>
      </c>
      <c r="E27" s="1">
        <v>0</v>
      </c>
      <c r="F27" s="1">
        <v>0</v>
      </c>
      <c r="G27" s="11">
        <f t="shared" si="8"/>
        <v>0</v>
      </c>
      <c r="H27" s="11">
        <f t="shared" si="9"/>
        <v>0</v>
      </c>
      <c r="I27" s="11">
        <f t="shared" si="10"/>
        <v>0</v>
      </c>
      <c r="J27" s="11">
        <f t="shared" si="11"/>
        <v>0</v>
      </c>
      <c r="K27" s="1">
        <v>0</v>
      </c>
      <c r="L27" s="1">
        <v>0</v>
      </c>
      <c r="M27" s="1">
        <v>0</v>
      </c>
      <c r="N27" s="1">
        <v>0</v>
      </c>
      <c r="O27" s="1">
        <f t="shared" si="4"/>
        <v>0</v>
      </c>
      <c r="P27" s="1">
        <f t="shared" si="5"/>
        <v>0</v>
      </c>
      <c r="Q27" s="1">
        <f t="shared" si="6"/>
        <v>0</v>
      </c>
      <c r="R27" s="1">
        <f t="shared" si="7"/>
        <v>0</v>
      </c>
      <c r="S27" s="4">
        <f t="shared" si="14"/>
        <v>0.8</v>
      </c>
      <c r="T27" s="4">
        <f t="shared" si="14"/>
        <v>0.8</v>
      </c>
      <c r="U27" s="4">
        <f t="shared" si="12"/>
        <v>0.8</v>
      </c>
      <c r="V27" s="4">
        <f t="shared" si="12"/>
        <v>0.8</v>
      </c>
      <c r="W27" s="1">
        <f t="shared" si="15"/>
        <v>0</v>
      </c>
      <c r="X27" s="1">
        <f t="shared" si="13"/>
        <v>0</v>
      </c>
      <c r="Y27" s="1">
        <f t="shared" si="13"/>
        <v>0</v>
      </c>
      <c r="Z27" s="1">
        <f t="shared" si="13"/>
        <v>0</v>
      </c>
    </row>
    <row r="28" spans="2:26" x14ac:dyDescent="0.45">
      <c r="B28" s="9">
        <v>0.27083333333333331</v>
      </c>
      <c r="C28" s="1">
        <v>0</v>
      </c>
      <c r="D28" s="1">
        <v>0</v>
      </c>
      <c r="E28" s="1">
        <v>0</v>
      </c>
      <c r="F28" s="1">
        <v>0</v>
      </c>
      <c r="G28" s="11">
        <f>+C28/C$63</f>
        <v>0</v>
      </c>
      <c r="H28" s="11">
        <f t="shared" si="9"/>
        <v>0</v>
      </c>
      <c r="I28" s="11">
        <f t="shared" si="10"/>
        <v>0</v>
      </c>
      <c r="J28" s="11">
        <f t="shared" si="11"/>
        <v>0</v>
      </c>
      <c r="K28" s="1">
        <v>0</v>
      </c>
      <c r="L28" s="1">
        <v>0</v>
      </c>
      <c r="M28" s="1">
        <v>0</v>
      </c>
      <c r="N28" s="1">
        <v>0</v>
      </c>
      <c r="O28" s="1">
        <f t="shared" si="4"/>
        <v>0</v>
      </c>
      <c r="P28" s="1">
        <f t="shared" si="5"/>
        <v>0</v>
      </c>
      <c r="Q28" s="1">
        <f t="shared" si="6"/>
        <v>0</v>
      </c>
      <c r="R28" s="1">
        <f t="shared" si="7"/>
        <v>0</v>
      </c>
      <c r="S28" s="4">
        <f t="shared" si="14"/>
        <v>0.8</v>
      </c>
      <c r="T28" s="4">
        <f t="shared" si="14"/>
        <v>0.8</v>
      </c>
      <c r="U28" s="4">
        <f t="shared" si="12"/>
        <v>0.8</v>
      </c>
      <c r="V28" s="4">
        <f t="shared" si="12"/>
        <v>0.8</v>
      </c>
      <c r="W28" s="1">
        <f t="shared" si="15"/>
        <v>0</v>
      </c>
      <c r="X28" s="1">
        <f t="shared" si="13"/>
        <v>0</v>
      </c>
      <c r="Y28" s="1">
        <f t="shared" si="13"/>
        <v>0</v>
      </c>
      <c r="Z28" s="1">
        <f t="shared" si="13"/>
        <v>0</v>
      </c>
    </row>
    <row r="29" spans="2:26" x14ac:dyDescent="0.45">
      <c r="B29" s="9">
        <v>0.29166666666666669</v>
      </c>
      <c r="C29" s="1">
        <v>3</v>
      </c>
      <c r="D29" s="1">
        <v>7</v>
      </c>
      <c r="E29" s="1">
        <v>10</v>
      </c>
      <c r="F29" s="1">
        <v>8</v>
      </c>
      <c r="G29" s="11">
        <f t="shared" si="8"/>
        <v>0.01</v>
      </c>
      <c r="H29" s="11">
        <f t="shared" si="9"/>
        <v>2.3333333333333334E-2</v>
      </c>
      <c r="I29" s="11">
        <f t="shared" si="10"/>
        <v>3.3333333333333333E-2</v>
      </c>
      <c r="J29" s="11">
        <f t="shared" si="11"/>
        <v>2.6666666666666668E-2</v>
      </c>
      <c r="K29" s="1">
        <v>0</v>
      </c>
      <c r="L29" s="1">
        <v>0</v>
      </c>
      <c r="M29" s="1">
        <v>0</v>
      </c>
      <c r="N29" s="1">
        <v>0</v>
      </c>
      <c r="O29" s="1">
        <f t="shared" si="4"/>
        <v>0</v>
      </c>
      <c r="P29" s="1">
        <f t="shared" si="5"/>
        <v>0</v>
      </c>
      <c r="Q29" s="1">
        <f t="shared" si="6"/>
        <v>0</v>
      </c>
      <c r="R29" s="1">
        <f t="shared" si="7"/>
        <v>0</v>
      </c>
      <c r="S29" s="4">
        <f t="shared" si="14"/>
        <v>0.8</v>
      </c>
      <c r="T29" s="4">
        <f t="shared" si="14"/>
        <v>0.8</v>
      </c>
      <c r="U29" s="4">
        <f t="shared" si="12"/>
        <v>0.8</v>
      </c>
      <c r="V29" s="4">
        <f t="shared" si="12"/>
        <v>0.8</v>
      </c>
      <c r="W29" s="1">
        <f t="shared" si="15"/>
        <v>0</v>
      </c>
      <c r="X29" s="1">
        <f t="shared" si="13"/>
        <v>0</v>
      </c>
      <c r="Y29" s="1">
        <f t="shared" si="13"/>
        <v>0</v>
      </c>
      <c r="Z29" s="1">
        <f t="shared" si="13"/>
        <v>0</v>
      </c>
    </row>
    <row r="30" spans="2:26" x14ac:dyDescent="0.45">
      <c r="B30" s="9">
        <v>0.3125</v>
      </c>
      <c r="C30" s="1">
        <v>14</v>
      </c>
      <c r="D30" s="1">
        <v>19</v>
      </c>
      <c r="E30" s="1">
        <v>19</v>
      </c>
      <c r="F30" s="1">
        <v>45</v>
      </c>
      <c r="G30" s="11">
        <f t="shared" si="8"/>
        <v>4.6666666666666669E-2</v>
      </c>
      <c r="H30" s="11">
        <f t="shared" si="9"/>
        <v>6.3333333333333339E-2</v>
      </c>
      <c r="I30" s="11">
        <f t="shared" si="10"/>
        <v>6.3333333333333339E-2</v>
      </c>
      <c r="J30" s="11">
        <f t="shared" si="11"/>
        <v>0.15</v>
      </c>
      <c r="K30" s="1">
        <v>1</v>
      </c>
      <c r="L30" s="1">
        <v>1</v>
      </c>
      <c r="M30" s="1">
        <v>1</v>
      </c>
      <c r="N30" s="1">
        <v>1</v>
      </c>
      <c r="O30" s="1">
        <f t="shared" si="4"/>
        <v>0.3</v>
      </c>
      <c r="P30" s="1">
        <f t="shared" si="5"/>
        <v>0.3</v>
      </c>
      <c r="Q30" s="1">
        <f t="shared" si="6"/>
        <v>0.3</v>
      </c>
      <c r="R30" s="1">
        <f t="shared" si="7"/>
        <v>0.3</v>
      </c>
      <c r="S30" s="4">
        <f t="shared" si="14"/>
        <v>0.8</v>
      </c>
      <c r="T30" s="4">
        <f t="shared" si="14"/>
        <v>0.8</v>
      </c>
      <c r="U30" s="4">
        <f t="shared" si="12"/>
        <v>0.8</v>
      </c>
      <c r="V30" s="4">
        <f t="shared" si="12"/>
        <v>0.8</v>
      </c>
      <c r="W30" s="1">
        <f t="shared" si="15"/>
        <v>0</v>
      </c>
      <c r="X30" s="1">
        <f t="shared" si="13"/>
        <v>0</v>
      </c>
      <c r="Y30" s="1">
        <f t="shared" si="13"/>
        <v>0</v>
      </c>
      <c r="Z30" s="1">
        <f t="shared" si="13"/>
        <v>0</v>
      </c>
    </row>
    <row r="31" spans="2:26" x14ac:dyDescent="0.45">
      <c r="B31" s="9">
        <v>0.33333333333333331</v>
      </c>
      <c r="C31" s="1">
        <v>15</v>
      </c>
      <c r="D31" s="1">
        <v>13</v>
      </c>
      <c r="E31" s="1">
        <v>26</v>
      </c>
      <c r="F31" s="1">
        <v>52</v>
      </c>
      <c r="G31" s="11">
        <f t="shared" si="8"/>
        <v>0.05</v>
      </c>
      <c r="H31" s="11">
        <f t="shared" si="9"/>
        <v>4.3333333333333335E-2</v>
      </c>
      <c r="I31" s="11">
        <f t="shared" si="10"/>
        <v>8.666666666666667E-2</v>
      </c>
      <c r="J31" s="11">
        <f t="shared" si="11"/>
        <v>0.17333333333333334</v>
      </c>
      <c r="K31" s="1">
        <v>1</v>
      </c>
      <c r="L31" s="1">
        <v>1</v>
      </c>
      <c r="M31" s="1">
        <v>1</v>
      </c>
      <c r="N31" s="1">
        <v>1</v>
      </c>
      <c r="O31" s="1">
        <f t="shared" si="4"/>
        <v>0.3</v>
      </c>
      <c r="P31" s="1">
        <f t="shared" si="5"/>
        <v>0.3</v>
      </c>
      <c r="Q31" s="1">
        <f t="shared" si="6"/>
        <v>0.3</v>
      </c>
      <c r="R31" s="1">
        <f t="shared" si="7"/>
        <v>0.3</v>
      </c>
      <c r="S31" s="4">
        <f>+IF(AND(K30=0,S30=0.8),0.8,IF(K30=1,S30-O30,S30+W30))</f>
        <v>0.5</v>
      </c>
      <c r="T31" s="4">
        <f>+IF(AND(L30=0,T30=0.8),0.8,IF(L30=1,T30-P30,T30+X30))</f>
        <v>0.5</v>
      </c>
      <c r="U31" s="4">
        <f t="shared" si="12"/>
        <v>0.5</v>
      </c>
      <c r="V31" s="4">
        <f t="shared" si="12"/>
        <v>0.5</v>
      </c>
      <c r="W31" s="1">
        <f t="shared" si="15"/>
        <v>0</v>
      </c>
      <c r="X31" s="1">
        <f t="shared" si="13"/>
        <v>0</v>
      </c>
      <c r="Y31" s="1">
        <f t="shared" si="13"/>
        <v>0</v>
      </c>
      <c r="Z31" s="1">
        <f t="shared" si="13"/>
        <v>0</v>
      </c>
    </row>
    <row r="32" spans="2:26" x14ac:dyDescent="0.45">
      <c r="B32" s="9">
        <v>0.35416666666666669</v>
      </c>
      <c r="C32" s="1">
        <v>5</v>
      </c>
      <c r="D32" s="1">
        <v>10</v>
      </c>
      <c r="E32" s="1">
        <v>18</v>
      </c>
      <c r="F32" s="1">
        <v>25</v>
      </c>
      <c r="G32" s="11">
        <f t="shared" si="8"/>
        <v>1.6666666666666666E-2</v>
      </c>
      <c r="H32" s="11">
        <f t="shared" si="9"/>
        <v>3.3333333333333333E-2</v>
      </c>
      <c r="I32" s="11">
        <f t="shared" si="10"/>
        <v>0.06</v>
      </c>
      <c r="J32" s="11">
        <f t="shared" si="11"/>
        <v>8.3333333333333329E-2</v>
      </c>
      <c r="K32" s="1">
        <v>0</v>
      </c>
      <c r="L32" s="1">
        <v>0</v>
      </c>
      <c r="M32" s="1">
        <v>0</v>
      </c>
      <c r="N32" s="1">
        <v>0</v>
      </c>
      <c r="O32" s="1">
        <f t="shared" si="4"/>
        <v>0</v>
      </c>
      <c r="P32" s="1">
        <f t="shared" si="5"/>
        <v>0</v>
      </c>
      <c r="Q32" s="1">
        <f t="shared" si="6"/>
        <v>0</v>
      </c>
      <c r="R32" s="1">
        <f t="shared" si="7"/>
        <v>0</v>
      </c>
      <c r="S32" s="4">
        <f t="shared" si="14"/>
        <v>0.2</v>
      </c>
      <c r="T32" s="4">
        <f t="shared" si="14"/>
        <v>0.2</v>
      </c>
      <c r="U32" s="4">
        <f t="shared" ref="U32:U63" si="16">+IF(AND(M31=0,U31=0.8),0.8,IF(M31=1,U31-Q31,U31+Y31))</f>
        <v>0.2</v>
      </c>
      <c r="V32" s="4">
        <f t="shared" ref="V32:V63" si="17">+IF(AND(N31=0,V31=0.8),0.8,IF(N31=1,V31-R31,V31+Z31))</f>
        <v>0.2</v>
      </c>
      <c r="W32" s="1">
        <f t="shared" si="15"/>
        <v>0.3</v>
      </c>
      <c r="X32" s="1">
        <f t="shared" ref="X32:X63" si="18">+IF(AND((T31+X31)&lt;0.8,L32=0),$C$2*0.5,0)</f>
        <v>0.3</v>
      </c>
      <c r="Y32" s="1">
        <f t="shared" ref="Y32:Y63" si="19">+IF(AND((U31+Y31)&lt;0.8,M32=0),$C$2*0.5,0)</f>
        <v>0.3</v>
      </c>
      <c r="Z32" s="1">
        <f t="shared" ref="Z32:Z63" si="20">+IF(AND((V31+Z31)&lt;0.8,N32=0),$C$2*0.5,0)</f>
        <v>0.3</v>
      </c>
    </row>
    <row r="33" spans="2:26" x14ac:dyDescent="0.45">
      <c r="B33" s="9">
        <v>0.375</v>
      </c>
      <c r="C33" s="1">
        <v>6</v>
      </c>
      <c r="D33" s="1">
        <v>1</v>
      </c>
      <c r="E33" s="1">
        <v>22</v>
      </c>
      <c r="F33" s="1">
        <v>20</v>
      </c>
      <c r="G33" s="11">
        <f t="shared" si="8"/>
        <v>0.02</v>
      </c>
      <c r="H33" s="11">
        <f t="shared" si="9"/>
        <v>3.3333333333333335E-3</v>
      </c>
      <c r="I33" s="11">
        <f t="shared" si="10"/>
        <v>7.3333333333333334E-2</v>
      </c>
      <c r="J33" s="11">
        <f t="shared" si="11"/>
        <v>6.6666666666666666E-2</v>
      </c>
      <c r="K33" s="1">
        <v>0</v>
      </c>
      <c r="L33" s="1">
        <v>1</v>
      </c>
      <c r="M33" s="1">
        <v>1</v>
      </c>
      <c r="N33" s="1">
        <v>1</v>
      </c>
      <c r="O33" s="1">
        <f t="shared" si="4"/>
        <v>0</v>
      </c>
      <c r="P33" s="1">
        <f t="shared" si="5"/>
        <v>0.3</v>
      </c>
      <c r="Q33" s="1">
        <f t="shared" si="6"/>
        <v>0.3</v>
      </c>
      <c r="R33" s="1">
        <f t="shared" si="7"/>
        <v>0.3</v>
      </c>
      <c r="S33" s="4">
        <f t="shared" si="14"/>
        <v>0.5</v>
      </c>
      <c r="T33" s="4">
        <f t="shared" si="14"/>
        <v>0.5</v>
      </c>
      <c r="U33" s="4">
        <f t="shared" si="16"/>
        <v>0.5</v>
      </c>
      <c r="V33" s="4">
        <f t="shared" si="17"/>
        <v>0.5</v>
      </c>
      <c r="W33" s="1">
        <f t="shared" si="15"/>
        <v>0.3</v>
      </c>
      <c r="X33" s="1">
        <f t="shared" si="18"/>
        <v>0</v>
      </c>
      <c r="Y33" s="1">
        <f t="shared" si="19"/>
        <v>0</v>
      </c>
      <c r="Z33" s="1">
        <f t="shared" si="20"/>
        <v>0</v>
      </c>
    </row>
    <row r="34" spans="2:26" x14ac:dyDescent="0.45">
      <c r="B34" s="9">
        <v>0.39583333333333331</v>
      </c>
      <c r="C34" s="1">
        <v>2</v>
      </c>
      <c r="D34" s="1">
        <v>1</v>
      </c>
      <c r="E34" s="1">
        <v>13</v>
      </c>
      <c r="F34" s="1">
        <v>9</v>
      </c>
      <c r="G34" s="11">
        <f t="shared" si="8"/>
        <v>6.6666666666666671E-3</v>
      </c>
      <c r="H34" s="11">
        <f t="shared" si="9"/>
        <v>3.3333333333333335E-3</v>
      </c>
      <c r="I34" s="11">
        <f t="shared" si="10"/>
        <v>4.3333333333333335E-2</v>
      </c>
      <c r="J34" s="11">
        <f t="shared" si="11"/>
        <v>0.03</v>
      </c>
      <c r="K34" s="1">
        <v>1</v>
      </c>
      <c r="L34" s="1">
        <v>0</v>
      </c>
      <c r="M34" s="1">
        <v>0</v>
      </c>
      <c r="N34" s="1">
        <v>0</v>
      </c>
      <c r="O34" s="1">
        <f t="shared" si="4"/>
        <v>0.3</v>
      </c>
      <c r="P34" s="1">
        <f t="shared" si="5"/>
        <v>0</v>
      </c>
      <c r="Q34" s="1">
        <f t="shared" si="6"/>
        <v>0</v>
      </c>
      <c r="R34" s="1">
        <f t="shared" si="7"/>
        <v>0</v>
      </c>
      <c r="S34" s="4">
        <f>+IF(AND(K33=0,S33=0.8),0.8,IF(K33=1,S33-O33,S33+W33))</f>
        <v>0.8</v>
      </c>
      <c r="T34" s="4">
        <f>+IF(AND(L33=0,T33=0.8),0.8,IF(L33=1,T33-P33,T33+X33))</f>
        <v>0.2</v>
      </c>
      <c r="U34" s="4">
        <f t="shared" si="16"/>
        <v>0.2</v>
      </c>
      <c r="V34" s="4">
        <f t="shared" si="17"/>
        <v>0.2</v>
      </c>
      <c r="W34" s="1">
        <f t="shared" si="15"/>
        <v>0</v>
      </c>
      <c r="X34" s="1">
        <f t="shared" si="18"/>
        <v>0.3</v>
      </c>
      <c r="Y34" s="1">
        <f t="shared" si="19"/>
        <v>0.3</v>
      </c>
      <c r="Z34" s="1">
        <f t="shared" si="20"/>
        <v>0.3</v>
      </c>
    </row>
    <row r="35" spans="2:26" x14ac:dyDescent="0.45">
      <c r="B35" s="9">
        <v>0.41666666666666669</v>
      </c>
      <c r="C35" s="1">
        <v>1</v>
      </c>
      <c r="D35" s="1">
        <v>0</v>
      </c>
      <c r="E35" s="1">
        <v>9</v>
      </c>
      <c r="F35" s="1">
        <v>6</v>
      </c>
      <c r="G35" s="11">
        <f t="shared" si="8"/>
        <v>3.3333333333333335E-3</v>
      </c>
      <c r="H35" s="11">
        <f t="shared" si="9"/>
        <v>0</v>
      </c>
      <c r="I35" s="11">
        <f t="shared" si="10"/>
        <v>0.03</v>
      </c>
      <c r="J35" s="11">
        <f t="shared" si="11"/>
        <v>0.02</v>
      </c>
      <c r="K35" s="1">
        <v>1</v>
      </c>
      <c r="L35" s="1">
        <v>0</v>
      </c>
      <c r="M35" s="1">
        <v>1</v>
      </c>
      <c r="N35" s="1">
        <v>0</v>
      </c>
      <c r="O35" s="1">
        <f t="shared" si="4"/>
        <v>0.3</v>
      </c>
      <c r="P35" s="1">
        <f t="shared" si="5"/>
        <v>0</v>
      </c>
      <c r="Q35" s="1">
        <f t="shared" si="6"/>
        <v>0.3</v>
      </c>
      <c r="R35" s="1">
        <f t="shared" si="7"/>
        <v>0</v>
      </c>
      <c r="S35" s="4">
        <f>+IF(AND(K34=0,S34=0.8),0.8,IF(K34=1,S34-O34,S34+W34))</f>
        <v>0.5</v>
      </c>
      <c r="T35" s="4">
        <f>+IF(AND(L34=0,T34=0.8),0.8,IF(L34=1,T34-P34,T34+X34))</f>
        <v>0.5</v>
      </c>
      <c r="U35" s="4">
        <f t="shared" si="16"/>
        <v>0.5</v>
      </c>
      <c r="V35" s="4">
        <f t="shared" si="17"/>
        <v>0.5</v>
      </c>
      <c r="W35" s="1">
        <f t="shared" si="15"/>
        <v>0</v>
      </c>
      <c r="X35" s="1">
        <f t="shared" si="18"/>
        <v>0.3</v>
      </c>
      <c r="Y35" s="1">
        <f t="shared" si="19"/>
        <v>0</v>
      </c>
      <c r="Z35" s="1">
        <f t="shared" si="20"/>
        <v>0.3</v>
      </c>
    </row>
    <row r="36" spans="2:26" x14ac:dyDescent="0.45">
      <c r="B36" s="9">
        <v>0.4375</v>
      </c>
      <c r="C36" s="1">
        <v>0</v>
      </c>
      <c r="D36" s="1">
        <v>0</v>
      </c>
      <c r="E36" s="1">
        <v>8</v>
      </c>
      <c r="F36" s="1">
        <v>8</v>
      </c>
      <c r="G36" s="11">
        <f t="shared" si="8"/>
        <v>0</v>
      </c>
      <c r="H36" s="11">
        <f t="shared" si="9"/>
        <v>0</v>
      </c>
      <c r="I36" s="11">
        <f t="shared" si="10"/>
        <v>2.6666666666666668E-2</v>
      </c>
      <c r="J36" s="11">
        <f t="shared" si="11"/>
        <v>2.6666666666666668E-2</v>
      </c>
      <c r="K36" s="1">
        <v>0</v>
      </c>
      <c r="L36" s="1">
        <v>0</v>
      </c>
      <c r="M36" s="1">
        <v>0</v>
      </c>
      <c r="N36" s="1">
        <v>1</v>
      </c>
      <c r="O36" s="1">
        <f t="shared" si="4"/>
        <v>0</v>
      </c>
      <c r="P36" s="1">
        <f t="shared" si="5"/>
        <v>0</v>
      </c>
      <c r="Q36" s="1">
        <f t="shared" si="6"/>
        <v>0</v>
      </c>
      <c r="R36" s="1">
        <f t="shared" si="7"/>
        <v>0.3</v>
      </c>
      <c r="S36" s="4">
        <f t="shared" si="14"/>
        <v>0.2</v>
      </c>
      <c r="T36" s="4">
        <f t="shared" si="14"/>
        <v>0.8</v>
      </c>
      <c r="U36" s="4">
        <f t="shared" si="16"/>
        <v>0.2</v>
      </c>
      <c r="V36" s="4">
        <f t="shared" si="17"/>
        <v>0.8</v>
      </c>
      <c r="W36" s="1">
        <f t="shared" si="15"/>
        <v>0.3</v>
      </c>
      <c r="X36" s="1">
        <f t="shared" si="18"/>
        <v>0</v>
      </c>
      <c r="Y36" s="1">
        <f t="shared" si="19"/>
        <v>0.3</v>
      </c>
      <c r="Z36" s="1">
        <f t="shared" si="20"/>
        <v>0</v>
      </c>
    </row>
    <row r="37" spans="2:26" x14ac:dyDescent="0.45">
      <c r="B37" s="9">
        <v>0.45833333333333331</v>
      </c>
      <c r="C37" s="1">
        <v>0</v>
      </c>
      <c r="D37" s="1">
        <v>0</v>
      </c>
      <c r="E37" s="1">
        <v>6</v>
      </c>
      <c r="F37" s="1">
        <v>5</v>
      </c>
      <c r="G37" s="11">
        <f t="shared" si="8"/>
        <v>0</v>
      </c>
      <c r="H37" s="11">
        <f t="shared" si="9"/>
        <v>0</v>
      </c>
      <c r="I37" s="11">
        <f t="shared" si="10"/>
        <v>0.02</v>
      </c>
      <c r="J37" s="11">
        <f t="shared" si="11"/>
        <v>1.6666666666666666E-2</v>
      </c>
      <c r="K37" s="1">
        <v>0</v>
      </c>
      <c r="L37" s="1">
        <v>0</v>
      </c>
      <c r="M37" s="1">
        <v>1</v>
      </c>
      <c r="N37" s="1">
        <v>1</v>
      </c>
      <c r="O37" s="1">
        <f t="shared" si="4"/>
        <v>0</v>
      </c>
      <c r="P37" s="1">
        <f t="shared" si="5"/>
        <v>0</v>
      </c>
      <c r="Q37" s="1">
        <f t="shared" si="6"/>
        <v>0.3</v>
      </c>
      <c r="R37" s="1">
        <f t="shared" si="7"/>
        <v>0.3</v>
      </c>
      <c r="S37" s="4">
        <f t="shared" si="14"/>
        <v>0.5</v>
      </c>
      <c r="T37" s="4">
        <f t="shared" si="14"/>
        <v>0.8</v>
      </c>
      <c r="U37" s="4">
        <f t="shared" si="16"/>
        <v>0.5</v>
      </c>
      <c r="V37" s="4">
        <f t="shared" si="17"/>
        <v>0.5</v>
      </c>
      <c r="W37" s="1">
        <f t="shared" si="15"/>
        <v>0.3</v>
      </c>
      <c r="X37" s="1">
        <f t="shared" si="18"/>
        <v>0</v>
      </c>
      <c r="Y37" s="1">
        <f t="shared" si="19"/>
        <v>0</v>
      </c>
      <c r="Z37" s="1">
        <f t="shared" si="20"/>
        <v>0</v>
      </c>
    </row>
    <row r="38" spans="2:26" x14ac:dyDescent="0.45">
      <c r="B38" s="9">
        <v>0.47916666666666669</v>
      </c>
      <c r="C38" s="1">
        <v>0</v>
      </c>
      <c r="D38" s="1">
        <v>0</v>
      </c>
      <c r="E38" s="1">
        <v>6</v>
      </c>
      <c r="F38" s="1">
        <v>4</v>
      </c>
      <c r="G38" s="11">
        <f t="shared" si="8"/>
        <v>0</v>
      </c>
      <c r="H38" s="11">
        <f t="shared" si="9"/>
        <v>0</v>
      </c>
      <c r="I38" s="11">
        <f t="shared" si="10"/>
        <v>0.02</v>
      </c>
      <c r="J38" s="11">
        <f t="shared" si="11"/>
        <v>1.3333333333333334E-2</v>
      </c>
      <c r="K38" s="1">
        <v>0</v>
      </c>
      <c r="L38" s="1">
        <v>0</v>
      </c>
      <c r="M38" s="1">
        <v>0</v>
      </c>
      <c r="N38" s="1">
        <v>0</v>
      </c>
      <c r="O38" s="1">
        <f t="shared" si="4"/>
        <v>0</v>
      </c>
      <c r="P38" s="1">
        <f t="shared" si="5"/>
        <v>0</v>
      </c>
      <c r="Q38" s="1">
        <f t="shared" si="6"/>
        <v>0</v>
      </c>
      <c r="R38" s="1">
        <f t="shared" si="7"/>
        <v>0</v>
      </c>
      <c r="S38" s="4">
        <f t="shared" si="14"/>
        <v>0.8</v>
      </c>
      <c r="T38" s="4">
        <f t="shared" si="14"/>
        <v>0.8</v>
      </c>
      <c r="U38" s="4">
        <f t="shared" si="16"/>
        <v>0.2</v>
      </c>
      <c r="V38" s="4">
        <f t="shared" si="17"/>
        <v>0.2</v>
      </c>
      <c r="W38" s="1">
        <f t="shared" si="15"/>
        <v>0</v>
      </c>
      <c r="X38" s="1">
        <f t="shared" si="18"/>
        <v>0</v>
      </c>
      <c r="Y38" s="1">
        <f t="shared" si="19"/>
        <v>0.3</v>
      </c>
      <c r="Z38" s="1">
        <f t="shared" si="20"/>
        <v>0.3</v>
      </c>
    </row>
    <row r="39" spans="2:26" x14ac:dyDescent="0.45">
      <c r="B39" s="9">
        <v>0.5</v>
      </c>
      <c r="C39" s="1">
        <v>0</v>
      </c>
      <c r="D39" s="1">
        <v>0</v>
      </c>
      <c r="E39" s="1">
        <v>6</v>
      </c>
      <c r="F39" s="1">
        <v>3</v>
      </c>
      <c r="G39" s="11">
        <f t="shared" si="8"/>
        <v>0</v>
      </c>
      <c r="H39" s="11">
        <f t="shared" si="9"/>
        <v>0</v>
      </c>
      <c r="I39" s="11">
        <f t="shared" si="10"/>
        <v>0.02</v>
      </c>
      <c r="J39" s="11">
        <f t="shared" si="11"/>
        <v>0.01</v>
      </c>
      <c r="K39" s="1">
        <v>0</v>
      </c>
      <c r="L39" s="1">
        <v>0</v>
      </c>
      <c r="M39" s="1">
        <v>1</v>
      </c>
      <c r="N39" s="1">
        <v>1</v>
      </c>
      <c r="O39" s="1">
        <f t="shared" si="4"/>
        <v>0</v>
      </c>
      <c r="P39" s="1">
        <f t="shared" si="5"/>
        <v>0</v>
      </c>
      <c r="Q39" s="1">
        <f t="shared" si="6"/>
        <v>0.3</v>
      </c>
      <c r="R39" s="1">
        <f t="shared" si="7"/>
        <v>0.3</v>
      </c>
      <c r="S39" s="4">
        <f t="shared" si="14"/>
        <v>0.8</v>
      </c>
      <c r="T39" s="4">
        <f t="shared" si="14"/>
        <v>0.8</v>
      </c>
      <c r="U39" s="4">
        <f t="shared" si="16"/>
        <v>0.5</v>
      </c>
      <c r="V39" s="4">
        <f t="shared" si="17"/>
        <v>0.5</v>
      </c>
      <c r="W39" s="1">
        <f t="shared" si="15"/>
        <v>0</v>
      </c>
      <c r="X39" s="1">
        <f t="shared" si="18"/>
        <v>0</v>
      </c>
      <c r="Y39" s="1">
        <f t="shared" si="19"/>
        <v>0</v>
      </c>
      <c r="Z39" s="1">
        <f t="shared" si="20"/>
        <v>0</v>
      </c>
    </row>
    <row r="40" spans="2:26" x14ac:dyDescent="0.45">
      <c r="B40" s="9">
        <v>0.52083333333333337</v>
      </c>
      <c r="C40" s="1">
        <v>0</v>
      </c>
      <c r="D40" s="1">
        <v>0</v>
      </c>
      <c r="E40" s="1">
        <v>6</v>
      </c>
      <c r="F40" s="1">
        <v>3</v>
      </c>
      <c r="G40" s="11">
        <f t="shared" si="8"/>
        <v>0</v>
      </c>
      <c r="H40" s="11">
        <f t="shared" si="9"/>
        <v>0</v>
      </c>
      <c r="I40" s="11">
        <f t="shared" si="10"/>
        <v>0.02</v>
      </c>
      <c r="J40" s="11">
        <f t="shared" si="11"/>
        <v>0.01</v>
      </c>
      <c r="K40" s="1">
        <v>0</v>
      </c>
      <c r="L40" s="1">
        <v>0</v>
      </c>
      <c r="M40" s="1">
        <v>0</v>
      </c>
      <c r="N40" s="1">
        <v>0</v>
      </c>
      <c r="O40" s="1">
        <f t="shared" si="4"/>
        <v>0</v>
      </c>
      <c r="P40" s="1">
        <f t="shared" si="5"/>
        <v>0</v>
      </c>
      <c r="Q40" s="1">
        <f t="shared" si="6"/>
        <v>0</v>
      </c>
      <c r="R40" s="1">
        <f t="shared" si="7"/>
        <v>0</v>
      </c>
      <c r="S40" s="4">
        <f t="shared" si="14"/>
        <v>0.8</v>
      </c>
      <c r="T40" s="4">
        <f t="shared" si="14"/>
        <v>0.8</v>
      </c>
      <c r="U40" s="4">
        <f t="shared" si="16"/>
        <v>0.2</v>
      </c>
      <c r="V40" s="4">
        <f t="shared" si="17"/>
        <v>0.2</v>
      </c>
      <c r="W40" s="1">
        <f t="shared" si="15"/>
        <v>0</v>
      </c>
      <c r="X40" s="1">
        <f t="shared" si="18"/>
        <v>0</v>
      </c>
      <c r="Y40" s="1">
        <f t="shared" si="19"/>
        <v>0.3</v>
      </c>
      <c r="Z40" s="1">
        <f t="shared" si="20"/>
        <v>0.3</v>
      </c>
    </row>
    <row r="41" spans="2:26" x14ac:dyDescent="0.45">
      <c r="B41" s="9">
        <v>0.54166666666666663</v>
      </c>
      <c r="C41" s="1">
        <v>0</v>
      </c>
      <c r="D41" s="1">
        <v>0</v>
      </c>
      <c r="E41" s="1">
        <v>9</v>
      </c>
      <c r="F41" s="1">
        <v>3</v>
      </c>
      <c r="G41" s="11">
        <f t="shared" si="8"/>
        <v>0</v>
      </c>
      <c r="H41" s="11">
        <f t="shared" si="9"/>
        <v>0</v>
      </c>
      <c r="I41" s="11">
        <f t="shared" si="10"/>
        <v>0.03</v>
      </c>
      <c r="J41" s="11">
        <f t="shared" si="11"/>
        <v>0.01</v>
      </c>
      <c r="K41" s="1">
        <v>0</v>
      </c>
      <c r="L41" s="1">
        <v>0</v>
      </c>
      <c r="M41" s="1">
        <v>1</v>
      </c>
      <c r="N41" s="1">
        <v>1</v>
      </c>
      <c r="O41" s="1">
        <f t="shared" si="4"/>
        <v>0</v>
      </c>
      <c r="P41" s="1">
        <f t="shared" si="5"/>
        <v>0</v>
      </c>
      <c r="Q41" s="1">
        <f t="shared" si="6"/>
        <v>0.3</v>
      </c>
      <c r="R41" s="1">
        <f t="shared" si="7"/>
        <v>0.3</v>
      </c>
      <c r="S41" s="4">
        <f t="shared" si="14"/>
        <v>0.8</v>
      </c>
      <c r="T41" s="4">
        <f t="shared" si="14"/>
        <v>0.8</v>
      </c>
      <c r="U41" s="4">
        <f t="shared" si="16"/>
        <v>0.5</v>
      </c>
      <c r="V41" s="4">
        <f t="shared" si="17"/>
        <v>0.5</v>
      </c>
      <c r="W41" s="1">
        <f t="shared" si="15"/>
        <v>0</v>
      </c>
      <c r="X41" s="1">
        <f t="shared" si="18"/>
        <v>0</v>
      </c>
      <c r="Y41" s="1">
        <f t="shared" si="19"/>
        <v>0</v>
      </c>
      <c r="Z41" s="1">
        <f t="shared" si="20"/>
        <v>0</v>
      </c>
    </row>
    <row r="42" spans="2:26" x14ac:dyDescent="0.45">
      <c r="B42" s="9">
        <v>0.5625</v>
      </c>
      <c r="C42" s="1">
        <v>0</v>
      </c>
      <c r="D42" s="1">
        <v>0</v>
      </c>
      <c r="E42" s="1">
        <v>8</v>
      </c>
      <c r="F42" s="1">
        <v>1</v>
      </c>
      <c r="G42" s="11">
        <f t="shared" si="8"/>
        <v>0</v>
      </c>
      <c r="H42" s="11">
        <f t="shared" si="9"/>
        <v>0</v>
      </c>
      <c r="I42" s="11">
        <f t="shared" si="10"/>
        <v>2.6666666666666668E-2</v>
      </c>
      <c r="J42" s="11">
        <f t="shared" si="11"/>
        <v>3.3333333333333335E-3</v>
      </c>
      <c r="K42" s="1">
        <v>0</v>
      </c>
      <c r="L42" s="1">
        <v>0</v>
      </c>
      <c r="M42" s="1">
        <v>0</v>
      </c>
      <c r="N42" s="1">
        <v>0</v>
      </c>
      <c r="O42" s="1">
        <f t="shared" si="4"/>
        <v>0</v>
      </c>
      <c r="P42" s="1">
        <f t="shared" si="5"/>
        <v>0</v>
      </c>
      <c r="Q42" s="1">
        <f t="shared" si="6"/>
        <v>0</v>
      </c>
      <c r="R42" s="1">
        <f t="shared" si="7"/>
        <v>0</v>
      </c>
      <c r="S42" s="4">
        <f t="shared" si="14"/>
        <v>0.8</v>
      </c>
      <c r="T42" s="4">
        <f t="shared" si="14"/>
        <v>0.8</v>
      </c>
      <c r="U42" s="4">
        <f t="shared" si="16"/>
        <v>0.2</v>
      </c>
      <c r="V42" s="4">
        <f t="shared" si="17"/>
        <v>0.2</v>
      </c>
      <c r="W42" s="1">
        <f t="shared" si="15"/>
        <v>0</v>
      </c>
      <c r="X42" s="1">
        <f t="shared" si="18"/>
        <v>0</v>
      </c>
      <c r="Y42" s="1">
        <f t="shared" si="19"/>
        <v>0.3</v>
      </c>
      <c r="Z42" s="1">
        <f t="shared" si="20"/>
        <v>0.3</v>
      </c>
    </row>
    <row r="43" spans="2:26" x14ac:dyDescent="0.45">
      <c r="B43" s="9">
        <v>0.58333333333333337</v>
      </c>
      <c r="C43" s="1">
        <v>0</v>
      </c>
      <c r="D43" s="1">
        <v>0</v>
      </c>
      <c r="E43" s="1">
        <v>7</v>
      </c>
      <c r="F43" s="1">
        <v>1</v>
      </c>
      <c r="G43" s="11">
        <f t="shared" si="8"/>
        <v>0</v>
      </c>
      <c r="H43" s="11">
        <f t="shared" si="9"/>
        <v>0</v>
      </c>
      <c r="I43" s="11">
        <f t="shared" si="10"/>
        <v>2.3333333333333334E-2</v>
      </c>
      <c r="J43" s="11">
        <f t="shared" si="11"/>
        <v>3.3333333333333335E-3</v>
      </c>
      <c r="K43" s="1">
        <v>0</v>
      </c>
      <c r="L43" s="1">
        <v>0</v>
      </c>
      <c r="M43" s="1">
        <v>1</v>
      </c>
      <c r="N43" s="1">
        <v>1</v>
      </c>
      <c r="O43" s="1">
        <f t="shared" si="4"/>
        <v>0</v>
      </c>
      <c r="P43" s="1">
        <f t="shared" si="5"/>
        <v>0</v>
      </c>
      <c r="Q43" s="1">
        <f t="shared" si="6"/>
        <v>0.3</v>
      </c>
      <c r="R43" s="1">
        <f t="shared" si="7"/>
        <v>0.3</v>
      </c>
      <c r="S43" s="4">
        <f t="shared" si="14"/>
        <v>0.8</v>
      </c>
      <c r="T43" s="4">
        <f t="shared" si="14"/>
        <v>0.8</v>
      </c>
      <c r="U43" s="4">
        <f t="shared" si="16"/>
        <v>0.5</v>
      </c>
      <c r="V43" s="4">
        <f t="shared" si="17"/>
        <v>0.5</v>
      </c>
      <c r="W43" s="1">
        <f t="shared" si="15"/>
        <v>0</v>
      </c>
      <c r="X43" s="1">
        <f t="shared" si="18"/>
        <v>0</v>
      </c>
      <c r="Y43" s="1">
        <f t="shared" si="19"/>
        <v>0</v>
      </c>
      <c r="Z43" s="1">
        <f t="shared" si="20"/>
        <v>0</v>
      </c>
    </row>
    <row r="44" spans="2:26" x14ac:dyDescent="0.45">
      <c r="B44" s="9">
        <v>0.60416666666666663</v>
      </c>
      <c r="C44" s="1">
        <v>0</v>
      </c>
      <c r="D44" s="1">
        <v>0</v>
      </c>
      <c r="E44" s="1">
        <v>7</v>
      </c>
      <c r="F44" s="1">
        <v>0</v>
      </c>
      <c r="G44" s="11">
        <f t="shared" si="8"/>
        <v>0</v>
      </c>
      <c r="H44" s="11">
        <f t="shared" si="9"/>
        <v>0</v>
      </c>
      <c r="I44" s="11">
        <f t="shared" si="10"/>
        <v>2.3333333333333334E-2</v>
      </c>
      <c r="J44" s="11">
        <f t="shared" si="11"/>
        <v>0</v>
      </c>
      <c r="K44" s="1">
        <v>0</v>
      </c>
      <c r="L44" s="1">
        <v>0</v>
      </c>
      <c r="M44" s="1">
        <v>0</v>
      </c>
      <c r="N44" s="1">
        <v>0</v>
      </c>
      <c r="O44" s="1">
        <f t="shared" si="4"/>
        <v>0</v>
      </c>
      <c r="P44" s="1">
        <f t="shared" si="5"/>
        <v>0</v>
      </c>
      <c r="Q44" s="1">
        <f t="shared" si="6"/>
        <v>0</v>
      </c>
      <c r="R44" s="1">
        <f t="shared" si="7"/>
        <v>0</v>
      </c>
      <c r="S44" s="4">
        <f t="shared" si="14"/>
        <v>0.8</v>
      </c>
      <c r="T44" s="4">
        <f t="shared" si="14"/>
        <v>0.8</v>
      </c>
      <c r="U44" s="4">
        <f t="shared" si="16"/>
        <v>0.2</v>
      </c>
      <c r="V44" s="4">
        <f t="shared" si="17"/>
        <v>0.2</v>
      </c>
      <c r="W44" s="1">
        <f t="shared" si="15"/>
        <v>0</v>
      </c>
      <c r="X44" s="1">
        <f t="shared" si="18"/>
        <v>0</v>
      </c>
      <c r="Y44" s="1">
        <f t="shared" si="19"/>
        <v>0.3</v>
      </c>
      <c r="Z44" s="1">
        <f t="shared" si="20"/>
        <v>0.3</v>
      </c>
    </row>
    <row r="45" spans="2:26" x14ac:dyDescent="0.45">
      <c r="B45" s="9">
        <v>0.625</v>
      </c>
      <c r="C45" s="1">
        <v>0</v>
      </c>
      <c r="D45" s="1">
        <v>0</v>
      </c>
      <c r="E45" s="1">
        <v>7</v>
      </c>
      <c r="F45" s="1">
        <v>0</v>
      </c>
      <c r="G45" s="11">
        <f t="shared" si="8"/>
        <v>0</v>
      </c>
      <c r="H45" s="11">
        <f t="shared" si="9"/>
        <v>0</v>
      </c>
      <c r="I45" s="11">
        <f t="shared" si="10"/>
        <v>2.3333333333333334E-2</v>
      </c>
      <c r="J45" s="11">
        <f t="shared" si="11"/>
        <v>0</v>
      </c>
      <c r="K45" s="1">
        <v>0</v>
      </c>
      <c r="L45" s="1">
        <v>0</v>
      </c>
      <c r="M45" s="1">
        <v>1</v>
      </c>
      <c r="N45" s="1">
        <v>0</v>
      </c>
      <c r="O45" s="1">
        <f t="shared" si="4"/>
        <v>0</v>
      </c>
      <c r="P45" s="1">
        <f t="shared" si="5"/>
        <v>0</v>
      </c>
      <c r="Q45" s="1">
        <f t="shared" si="6"/>
        <v>0.3</v>
      </c>
      <c r="R45" s="1">
        <f t="shared" si="7"/>
        <v>0</v>
      </c>
      <c r="S45" s="4">
        <f t="shared" si="14"/>
        <v>0.8</v>
      </c>
      <c r="T45" s="4">
        <f t="shared" si="14"/>
        <v>0.8</v>
      </c>
      <c r="U45" s="4">
        <f t="shared" si="16"/>
        <v>0.5</v>
      </c>
      <c r="V45" s="4">
        <f t="shared" si="17"/>
        <v>0.5</v>
      </c>
      <c r="W45" s="1">
        <f t="shared" si="15"/>
        <v>0</v>
      </c>
      <c r="X45" s="1">
        <f t="shared" si="18"/>
        <v>0</v>
      </c>
      <c r="Y45" s="1">
        <f t="shared" si="19"/>
        <v>0</v>
      </c>
      <c r="Z45" s="1">
        <f t="shared" si="20"/>
        <v>0.3</v>
      </c>
    </row>
    <row r="46" spans="2:26" x14ac:dyDescent="0.45">
      <c r="B46" s="9">
        <v>0.64583333333333337</v>
      </c>
      <c r="C46" s="1">
        <v>0</v>
      </c>
      <c r="D46" s="1">
        <v>0</v>
      </c>
      <c r="E46" s="1">
        <v>10</v>
      </c>
      <c r="F46" s="1">
        <v>0</v>
      </c>
      <c r="G46" s="11">
        <f t="shared" si="8"/>
        <v>0</v>
      </c>
      <c r="H46" s="11">
        <f t="shared" si="9"/>
        <v>0</v>
      </c>
      <c r="I46" s="11">
        <f t="shared" si="10"/>
        <v>3.3333333333333333E-2</v>
      </c>
      <c r="J46" s="11">
        <f t="shared" si="11"/>
        <v>0</v>
      </c>
      <c r="K46" s="1">
        <v>0</v>
      </c>
      <c r="L46" s="1">
        <v>0</v>
      </c>
      <c r="M46" s="1">
        <v>0</v>
      </c>
      <c r="N46" s="1">
        <v>0</v>
      </c>
      <c r="O46" s="1">
        <f t="shared" si="4"/>
        <v>0</v>
      </c>
      <c r="P46" s="1">
        <f t="shared" si="5"/>
        <v>0</v>
      </c>
      <c r="Q46" s="1">
        <f t="shared" si="6"/>
        <v>0</v>
      </c>
      <c r="R46" s="1">
        <f t="shared" si="7"/>
        <v>0</v>
      </c>
      <c r="S46" s="4">
        <f t="shared" si="14"/>
        <v>0.8</v>
      </c>
      <c r="T46" s="4">
        <f t="shared" si="14"/>
        <v>0.8</v>
      </c>
      <c r="U46" s="4">
        <f t="shared" si="16"/>
        <v>0.2</v>
      </c>
      <c r="V46" s="4">
        <f t="shared" si="17"/>
        <v>0.8</v>
      </c>
      <c r="W46" s="1">
        <f t="shared" si="15"/>
        <v>0</v>
      </c>
      <c r="X46" s="1">
        <f t="shared" si="18"/>
        <v>0</v>
      </c>
      <c r="Y46" s="1">
        <f t="shared" si="19"/>
        <v>0.3</v>
      </c>
      <c r="Z46" s="1">
        <f t="shared" si="20"/>
        <v>0</v>
      </c>
    </row>
    <row r="47" spans="2:26" x14ac:dyDescent="0.45">
      <c r="B47" s="9">
        <v>0.66666666666666663</v>
      </c>
      <c r="C47" s="1">
        <v>1</v>
      </c>
      <c r="D47" s="1">
        <v>1</v>
      </c>
      <c r="E47" s="1">
        <v>10</v>
      </c>
      <c r="F47" s="1">
        <v>0</v>
      </c>
      <c r="G47" s="11">
        <f t="shared" si="8"/>
        <v>3.3333333333333335E-3</v>
      </c>
      <c r="H47" s="11">
        <f t="shared" si="9"/>
        <v>3.3333333333333335E-3</v>
      </c>
      <c r="I47" s="11">
        <f t="shared" si="10"/>
        <v>3.3333333333333333E-2</v>
      </c>
      <c r="J47" s="11">
        <f t="shared" si="11"/>
        <v>0</v>
      </c>
      <c r="K47" s="1">
        <v>0</v>
      </c>
      <c r="L47" s="1">
        <v>0</v>
      </c>
      <c r="M47" s="1">
        <v>0</v>
      </c>
      <c r="N47" s="1">
        <v>0</v>
      </c>
      <c r="O47" s="1">
        <f t="shared" ref="O47:O63" si="21">+K47*$C$2*0.5</f>
        <v>0</v>
      </c>
      <c r="P47" s="1">
        <f t="shared" ref="P47:P63" si="22">+L47*$C$2*0.5</f>
        <v>0</v>
      </c>
      <c r="Q47" s="1">
        <f t="shared" ref="Q47:Q63" si="23">+M47*$C$2*0.5</f>
        <v>0</v>
      </c>
      <c r="R47" s="1">
        <f t="shared" ref="R47:R63" si="24">+N47*$C$2*0.5</f>
        <v>0</v>
      </c>
      <c r="S47" s="4">
        <f t="shared" si="14"/>
        <v>0.8</v>
      </c>
      <c r="T47" s="4">
        <f t="shared" si="14"/>
        <v>0.8</v>
      </c>
      <c r="U47" s="4">
        <f t="shared" si="16"/>
        <v>0.5</v>
      </c>
      <c r="V47" s="4">
        <f t="shared" si="17"/>
        <v>0.8</v>
      </c>
      <c r="W47" s="1">
        <f t="shared" si="15"/>
        <v>0</v>
      </c>
      <c r="X47" s="1">
        <f t="shared" si="18"/>
        <v>0</v>
      </c>
      <c r="Y47" s="1">
        <f t="shared" si="19"/>
        <v>0.3</v>
      </c>
      <c r="Z47" s="1">
        <f t="shared" si="20"/>
        <v>0</v>
      </c>
    </row>
    <row r="48" spans="2:26" x14ac:dyDescent="0.45">
      <c r="B48" s="9">
        <v>0.6875</v>
      </c>
      <c r="C48" s="1">
        <v>3</v>
      </c>
      <c r="D48" s="1">
        <v>2</v>
      </c>
      <c r="E48" s="1">
        <v>10</v>
      </c>
      <c r="F48" s="1">
        <v>0</v>
      </c>
      <c r="G48" s="11">
        <f t="shared" si="8"/>
        <v>0.01</v>
      </c>
      <c r="H48" s="11">
        <f t="shared" si="9"/>
        <v>6.6666666666666671E-3</v>
      </c>
      <c r="I48" s="11">
        <f t="shared" si="10"/>
        <v>3.3333333333333333E-2</v>
      </c>
      <c r="J48" s="11">
        <f t="shared" si="11"/>
        <v>0</v>
      </c>
      <c r="K48" s="1">
        <v>0</v>
      </c>
      <c r="L48" s="1">
        <v>0</v>
      </c>
      <c r="M48" s="1">
        <v>0</v>
      </c>
      <c r="N48" s="1">
        <v>0</v>
      </c>
      <c r="O48" s="1">
        <f t="shared" si="21"/>
        <v>0</v>
      </c>
      <c r="P48" s="1">
        <f t="shared" si="22"/>
        <v>0</v>
      </c>
      <c r="Q48" s="1">
        <f t="shared" si="23"/>
        <v>0</v>
      </c>
      <c r="R48" s="1">
        <f t="shared" si="24"/>
        <v>0</v>
      </c>
      <c r="S48" s="4">
        <f t="shared" si="14"/>
        <v>0.8</v>
      </c>
      <c r="T48" s="4">
        <f t="shared" si="14"/>
        <v>0.8</v>
      </c>
      <c r="U48" s="4">
        <f t="shared" si="16"/>
        <v>0.8</v>
      </c>
      <c r="V48" s="4">
        <f t="shared" si="17"/>
        <v>0.8</v>
      </c>
      <c r="W48" s="1">
        <f t="shared" si="15"/>
        <v>0</v>
      </c>
      <c r="X48" s="1">
        <f t="shared" si="18"/>
        <v>0</v>
      </c>
      <c r="Y48" s="1">
        <f t="shared" si="19"/>
        <v>0</v>
      </c>
      <c r="Z48" s="1">
        <f t="shared" si="20"/>
        <v>0</v>
      </c>
    </row>
    <row r="49" spans="2:26" x14ac:dyDescent="0.45">
      <c r="B49" s="9">
        <v>0.70833333333333337</v>
      </c>
      <c r="C49" s="1">
        <v>7</v>
      </c>
      <c r="D49" s="1">
        <v>10</v>
      </c>
      <c r="E49" s="1">
        <v>13</v>
      </c>
      <c r="F49" s="1">
        <v>8</v>
      </c>
      <c r="G49" s="11">
        <f t="shared" si="8"/>
        <v>2.3333333333333334E-2</v>
      </c>
      <c r="H49" s="11">
        <f t="shared" si="9"/>
        <v>3.3333333333333333E-2</v>
      </c>
      <c r="I49" s="11">
        <f t="shared" si="10"/>
        <v>4.3333333333333335E-2</v>
      </c>
      <c r="J49" s="11">
        <f t="shared" si="11"/>
        <v>2.6666666666666668E-2</v>
      </c>
      <c r="K49" s="1">
        <v>0</v>
      </c>
      <c r="L49" s="1">
        <v>0</v>
      </c>
      <c r="M49" s="1">
        <v>0</v>
      </c>
      <c r="N49" s="1">
        <v>0</v>
      </c>
      <c r="O49" s="1">
        <f t="shared" si="21"/>
        <v>0</v>
      </c>
      <c r="P49" s="1">
        <f t="shared" si="22"/>
        <v>0</v>
      </c>
      <c r="Q49" s="1">
        <f t="shared" si="23"/>
        <v>0</v>
      </c>
      <c r="R49" s="1">
        <f t="shared" si="24"/>
        <v>0</v>
      </c>
      <c r="S49" s="4">
        <f t="shared" si="14"/>
        <v>0.8</v>
      </c>
      <c r="T49" s="4">
        <f t="shared" si="14"/>
        <v>0.8</v>
      </c>
      <c r="U49" s="4">
        <f t="shared" si="16"/>
        <v>0.8</v>
      </c>
      <c r="V49" s="4">
        <f t="shared" si="17"/>
        <v>0.8</v>
      </c>
      <c r="W49" s="1">
        <f t="shared" si="15"/>
        <v>0</v>
      </c>
      <c r="X49" s="1">
        <f t="shared" si="18"/>
        <v>0</v>
      </c>
      <c r="Y49" s="1">
        <f t="shared" si="19"/>
        <v>0</v>
      </c>
      <c r="Z49" s="1">
        <f t="shared" si="20"/>
        <v>0</v>
      </c>
    </row>
    <row r="50" spans="2:26" x14ac:dyDescent="0.45">
      <c r="B50" s="9">
        <v>0.72916666666666663</v>
      </c>
      <c r="C50" s="1">
        <v>46</v>
      </c>
      <c r="D50" s="1">
        <v>82</v>
      </c>
      <c r="E50" s="1">
        <v>19</v>
      </c>
      <c r="F50" s="1">
        <v>33</v>
      </c>
      <c r="G50" s="11">
        <f t="shared" si="8"/>
        <v>0.15333333333333332</v>
      </c>
      <c r="H50" s="11">
        <f t="shared" si="9"/>
        <v>0.27333333333333332</v>
      </c>
      <c r="I50" s="11">
        <f t="shared" si="10"/>
        <v>6.3333333333333339E-2</v>
      </c>
      <c r="J50" s="11">
        <f t="shared" si="11"/>
        <v>0.11</v>
      </c>
      <c r="K50" s="1">
        <v>0</v>
      </c>
      <c r="L50" s="1">
        <v>1</v>
      </c>
      <c r="M50" s="1">
        <v>1</v>
      </c>
      <c r="N50" s="1">
        <v>1</v>
      </c>
      <c r="O50" s="1">
        <f t="shared" si="21"/>
        <v>0</v>
      </c>
      <c r="P50" s="1">
        <f t="shared" si="22"/>
        <v>0.3</v>
      </c>
      <c r="Q50" s="1">
        <f t="shared" si="23"/>
        <v>0.3</v>
      </c>
      <c r="R50" s="1">
        <f t="shared" si="24"/>
        <v>0.3</v>
      </c>
      <c r="S50" s="4">
        <f t="shared" si="14"/>
        <v>0.8</v>
      </c>
      <c r="T50" s="4">
        <f t="shared" si="14"/>
        <v>0.8</v>
      </c>
      <c r="U50" s="4">
        <f t="shared" si="16"/>
        <v>0.8</v>
      </c>
      <c r="V50" s="4">
        <f t="shared" si="17"/>
        <v>0.8</v>
      </c>
      <c r="W50" s="1">
        <f t="shared" si="15"/>
        <v>0</v>
      </c>
      <c r="X50" s="1">
        <f t="shared" si="18"/>
        <v>0</v>
      </c>
      <c r="Y50" s="1">
        <f t="shared" si="19"/>
        <v>0</v>
      </c>
      <c r="Z50" s="1">
        <f t="shared" si="20"/>
        <v>0</v>
      </c>
    </row>
    <row r="51" spans="2:26" x14ac:dyDescent="0.45">
      <c r="B51" s="9">
        <v>0.75</v>
      </c>
      <c r="C51" s="1">
        <v>57</v>
      </c>
      <c r="D51" s="1">
        <v>75</v>
      </c>
      <c r="E51" s="1">
        <v>26</v>
      </c>
      <c r="F51" s="1">
        <v>26</v>
      </c>
      <c r="G51" s="11">
        <f t="shared" si="8"/>
        <v>0.19</v>
      </c>
      <c r="H51" s="11">
        <f t="shared" si="9"/>
        <v>0.25</v>
      </c>
      <c r="I51" s="11">
        <f t="shared" si="10"/>
        <v>8.666666666666667E-2</v>
      </c>
      <c r="J51" s="11">
        <f t="shared" si="11"/>
        <v>8.666666666666667E-2</v>
      </c>
      <c r="K51" s="1">
        <v>1</v>
      </c>
      <c r="L51" s="1">
        <v>1</v>
      </c>
      <c r="M51" s="1">
        <v>1</v>
      </c>
      <c r="N51" s="1">
        <v>1</v>
      </c>
      <c r="O51" s="1">
        <f t="shared" si="21"/>
        <v>0.3</v>
      </c>
      <c r="P51" s="1">
        <f t="shared" si="22"/>
        <v>0.3</v>
      </c>
      <c r="Q51" s="1">
        <f t="shared" si="23"/>
        <v>0.3</v>
      </c>
      <c r="R51" s="1">
        <f t="shared" si="24"/>
        <v>0.3</v>
      </c>
      <c r="S51" s="4">
        <f t="shared" si="14"/>
        <v>0.8</v>
      </c>
      <c r="T51" s="4">
        <f t="shared" si="14"/>
        <v>0.5</v>
      </c>
      <c r="U51" s="4">
        <f>+IF(AND(M50=0,U50=0.8),0.8,IF(M50=1,U50-Q50,U50+Y50))</f>
        <v>0.5</v>
      </c>
      <c r="V51" s="4">
        <f t="shared" si="17"/>
        <v>0.5</v>
      </c>
      <c r="W51" s="1">
        <f t="shared" si="15"/>
        <v>0</v>
      </c>
      <c r="X51" s="1">
        <f t="shared" si="18"/>
        <v>0</v>
      </c>
      <c r="Y51" s="1">
        <f t="shared" si="19"/>
        <v>0</v>
      </c>
      <c r="Z51" s="1">
        <f t="shared" si="20"/>
        <v>0</v>
      </c>
    </row>
    <row r="52" spans="2:26" x14ac:dyDescent="0.45">
      <c r="B52" s="9">
        <v>0.77083333333333337</v>
      </c>
      <c r="C52" s="1">
        <v>55</v>
      </c>
      <c r="D52" s="1">
        <v>51</v>
      </c>
      <c r="E52" s="1">
        <v>12</v>
      </c>
      <c r="F52" s="1">
        <v>14</v>
      </c>
      <c r="G52" s="11">
        <f t="shared" si="8"/>
        <v>0.18333333333333332</v>
      </c>
      <c r="H52" s="11">
        <f t="shared" si="9"/>
        <v>0.17</v>
      </c>
      <c r="I52" s="11">
        <f t="shared" si="10"/>
        <v>0.04</v>
      </c>
      <c r="J52" s="11">
        <f t="shared" si="11"/>
        <v>4.6666666666666669E-2</v>
      </c>
      <c r="K52" s="1">
        <v>1</v>
      </c>
      <c r="L52" s="1">
        <v>0</v>
      </c>
      <c r="M52" s="1">
        <v>0</v>
      </c>
      <c r="N52" s="1">
        <v>0</v>
      </c>
      <c r="O52" s="1">
        <f t="shared" si="21"/>
        <v>0.3</v>
      </c>
      <c r="P52" s="1">
        <f t="shared" si="22"/>
        <v>0</v>
      </c>
      <c r="Q52" s="1">
        <f t="shared" si="23"/>
        <v>0</v>
      </c>
      <c r="R52" s="1">
        <f t="shared" si="24"/>
        <v>0</v>
      </c>
      <c r="S52" s="4">
        <f t="shared" si="14"/>
        <v>0.5</v>
      </c>
      <c r="T52" s="4">
        <f t="shared" si="14"/>
        <v>0.2</v>
      </c>
      <c r="U52" s="4">
        <f t="shared" si="16"/>
        <v>0.2</v>
      </c>
      <c r="V52" s="4">
        <f t="shared" si="17"/>
        <v>0.2</v>
      </c>
      <c r="W52" s="1">
        <f t="shared" si="15"/>
        <v>0</v>
      </c>
      <c r="X52" s="1">
        <f t="shared" si="18"/>
        <v>0.3</v>
      </c>
      <c r="Y52" s="1">
        <f t="shared" si="19"/>
        <v>0.3</v>
      </c>
      <c r="Z52" s="1">
        <f t="shared" si="20"/>
        <v>0.3</v>
      </c>
    </row>
    <row r="53" spans="2:26" x14ac:dyDescent="0.45">
      <c r="B53" s="9">
        <v>0.79166666666666663</v>
      </c>
      <c r="C53" s="1">
        <v>33</v>
      </c>
      <c r="D53" s="1">
        <v>18</v>
      </c>
      <c r="E53" s="1">
        <v>5</v>
      </c>
      <c r="F53" s="1">
        <v>10</v>
      </c>
      <c r="G53" s="11">
        <f t="shared" si="8"/>
        <v>0.11</v>
      </c>
      <c r="H53" s="11">
        <f t="shared" si="9"/>
        <v>0.06</v>
      </c>
      <c r="I53" s="11">
        <f t="shared" si="10"/>
        <v>1.6666666666666666E-2</v>
      </c>
      <c r="J53" s="11">
        <f t="shared" si="11"/>
        <v>3.3333333333333333E-2</v>
      </c>
      <c r="K53" s="1">
        <v>0</v>
      </c>
      <c r="L53" s="1">
        <v>1</v>
      </c>
      <c r="M53" s="1">
        <v>1</v>
      </c>
      <c r="N53" s="1">
        <v>1</v>
      </c>
      <c r="O53" s="1">
        <f t="shared" si="21"/>
        <v>0</v>
      </c>
      <c r="P53" s="1">
        <f t="shared" si="22"/>
        <v>0.3</v>
      </c>
      <c r="Q53" s="1">
        <f t="shared" si="23"/>
        <v>0.3</v>
      </c>
      <c r="R53" s="1">
        <f t="shared" si="24"/>
        <v>0.3</v>
      </c>
      <c r="S53" s="4">
        <f t="shared" si="14"/>
        <v>0.2</v>
      </c>
      <c r="T53" s="4">
        <f t="shared" si="14"/>
        <v>0.5</v>
      </c>
      <c r="U53" s="4">
        <f t="shared" si="16"/>
        <v>0.5</v>
      </c>
      <c r="V53" s="4">
        <f t="shared" si="17"/>
        <v>0.5</v>
      </c>
      <c r="W53" s="1">
        <f t="shared" si="15"/>
        <v>0.3</v>
      </c>
      <c r="X53" s="1">
        <f t="shared" si="18"/>
        <v>0</v>
      </c>
      <c r="Y53" s="1">
        <f t="shared" si="19"/>
        <v>0</v>
      </c>
      <c r="Z53" s="1">
        <f t="shared" si="20"/>
        <v>0</v>
      </c>
    </row>
    <row r="54" spans="2:26" x14ac:dyDescent="0.45">
      <c r="B54" s="9">
        <v>0.8125</v>
      </c>
      <c r="C54" s="1">
        <v>24</v>
      </c>
      <c r="D54" s="1">
        <v>7</v>
      </c>
      <c r="E54" s="1">
        <v>3</v>
      </c>
      <c r="F54" s="1">
        <v>4</v>
      </c>
      <c r="G54" s="11">
        <f t="shared" si="8"/>
        <v>0.08</v>
      </c>
      <c r="H54" s="11">
        <f t="shared" si="9"/>
        <v>2.3333333333333334E-2</v>
      </c>
      <c r="I54" s="11">
        <f t="shared" si="10"/>
        <v>0.01</v>
      </c>
      <c r="J54" s="11">
        <f t="shared" si="11"/>
        <v>1.3333333333333334E-2</v>
      </c>
      <c r="K54" s="1">
        <v>1</v>
      </c>
      <c r="L54" s="1">
        <v>0</v>
      </c>
      <c r="M54" s="1">
        <v>0</v>
      </c>
      <c r="N54" s="1">
        <v>0</v>
      </c>
      <c r="O54" s="1">
        <f t="shared" si="21"/>
        <v>0.3</v>
      </c>
      <c r="P54" s="1">
        <f t="shared" si="22"/>
        <v>0</v>
      </c>
      <c r="Q54" s="1">
        <f t="shared" si="23"/>
        <v>0</v>
      </c>
      <c r="R54" s="1">
        <f t="shared" si="24"/>
        <v>0</v>
      </c>
      <c r="S54" s="4">
        <f t="shared" si="14"/>
        <v>0.5</v>
      </c>
      <c r="T54" s="4">
        <f t="shared" si="14"/>
        <v>0.2</v>
      </c>
      <c r="U54" s="4">
        <f t="shared" si="16"/>
        <v>0.2</v>
      </c>
      <c r="V54" s="4">
        <f t="shared" si="17"/>
        <v>0.2</v>
      </c>
      <c r="W54" s="1">
        <f t="shared" si="15"/>
        <v>0</v>
      </c>
      <c r="X54" s="1">
        <f t="shared" si="18"/>
        <v>0.3</v>
      </c>
      <c r="Y54" s="1">
        <f t="shared" si="19"/>
        <v>0.3</v>
      </c>
      <c r="Z54" s="1">
        <f t="shared" si="20"/>
        <v>0.3</v>
      </c>
    </row>
    <row r="55" spans="2:26" x14ac:dyDescent="0.45">
      <c r="B55" s="9">
        <v>0.83333333333333337</v>
      </c>
      <c r="C55" s="1">
        <v>17</v>
      </c>
      <c r="D55" s="1">
        <v>3</v>
      </c>
      <c r="E55" s="1">
        <v>3</v>
      </c>
      <c r="F55" s="1">
        <v>4</v>
      </c>
      <c r="G55" s="11">
        <f t="shared" si="8"/>
        <v>5.6666666666666664E-2</v>
      </c>
      <c r="H55" s="11">
        <f t="shared" si="9"/>
        <v>0.01</v>
      </c>
      <c r="I55" s="11">
        <f t="shared" si="10"/>
        <v>0.01</v>
      </c>
      <c r="J55" s="11">
        <f t="shared" si="11"/>
        <v>1.3333333333333334E-2</v>
      </c>
      <c r="K55" s="1">
        <v>0</v>
      </c>
      <c r="L55" s="1">
        <v>1</v>
      </c>
      <c r="M55" s="1">
        <v>1</v>
      </c>
      <c r="N55" s="1">
        <v>1</v>
      </c>
      <c r="O55" s="1">
        <f t="shared" si="21"/>
        <v>0</v>
      </c>
      <c r="P55" s="1">
        <f t="shared" si="22"/>
        <v>0.3</v>
      </c>
      <c r="Q55" s="1">
        <f t="shared" si="23"/>
        <v>0.3</v>
      </c>
      <c r="R55" s="1">
        <f t="shared" si="24"/>
        <v>0.3</v>
      </c>
      <c r="S55" s="4">
        <f t="shared" si="14"/>
        <v>0.2</v>
      </c>
      <c r="T55" s="4">
        <f t="shared" si="14"/>
        <v>0.5</v>
      </c>
      <c r="U55" s="4">
        <f t="shared" si="16"/>
        <v>0.5</v>
      </c>
      <c r="V55" s="4">
        <f t="shared" si="17"/>
        <v>0.5</v>
      </c>
      <c r="W55" s="1">
        <f t="shared" si="15"/>
        <v>0.3</v>
      </c>
      <c r="X55" s="1">
        <f t="shared" si="18"/>
        <v>0</v>
      </c>
      <c r="Y55" s="1">
        <f t="shared" si="19"/>
        <v>0</v>
      </c>
      <c r="Z55" s="1">
        <f t="shared" si="20"/>
        <v>0</v>
      </c>
    </row>
    <row r="56" spans="2:26" x14ac:dyDescent="0.45">
      <c r="B56" s="9">
        <v>0.85416666666666663</v>
      </c>
      <c r="C56" s="1">
        <v>10</v>
      </c>
      <c r="D56" s="1">
        <v>0</v>
      </c>
      <c r="E56" s="1">
        <v>1</v>
      </c>
      <c r="F56" s="1">
        <v>4</v>
      </c>
      <c r="G56" s="11">
        <f t="shared" si="8"/>
        <v>3.3333333333333333E-2</v>
      </c>
      <c r="H56" s="11">
        <f t="shared" si="9"/>
        <v>0</v>
      </c>
      <c r="I56" s="11">
        <f t="shared" si="10"/>
        <v>3.3333333333333335E-3</v>
      </c>
      <c r="J56" s="11">
        <f t="shared" si="11"/>
        <v>1.3333333333333334E-2</v>
      </c>
      <c r="K56" s="1">
        <v>1</v>
      </c>
      <c r="L56" s="1">
        <v>0</v>
      </c>
      <c r="M56" s="1">
        <v>0</v>
      </c>
      <c r="N56" s="1">
        <v>0</v>
      </c>
      <c r="O56" s="1">
        <f t="shared" si="21"/>
        <v>0.3</v>
      </c>
      <c r="P56" s="1">
        <f t="shared" si="22"/>
        <v>0</v>
      </c>
      <c r="Q56" s="1">
        <f t="shared" si="23"/>
        <v>0</v>
      </c>
      <c r="R56" s="1">
        <f t="shared" si="24"/>
        <v>0</v>
      </c>
      <c r="S56" s="4">
        <f t="shared" si="14"/>
        <v>0.5</v>
      </c>
      <c r="T56" s="4">
        <f t="shared" si="14"/>
        <v>0.2</v>
      </c>
      <c r="U56" s="4">
        <f t="shared" si="16"/>
        <v>0.2</v>
      </c>
      <c r="V56" s="4">
        <f t="shared" si="17"/>
        <v>0.2</v>
      </c>
      <c r="W56" s="1">
        <f t="shared" si="15"/>
        <v>0</v>
      </c>
      <c r="X56" s="1">
        <f t="shared" si="18"/>
        <v>0.3</v>
      </c>
      <c r="Y56" s="1">
        <f t="shared" si="19"/>
        <v>0.3</v>
      </c>
      <c r="Z56" s="1">
        <f t="shared" si="20"/>
        <v>0.3</v>
      </c>
    </row>
    <row r="57" spans="2:26" x14ac:dyDescent="0.45">
      <c r="B57" s="9">
        <v>0.875</v>
      </c>
      <c r="C57" s="1">
        <v>1</v>
      </c>
      <c r="D57" s="1">
        <v>0</v>
      </c>
      <c r="E57" s="1">
        <v>1</v>
      </c>
      <c r="F57" s="1">
        <v>2</v>
      </c>
      <c r="G57" s="11">
        <f t="shared" si="8"/>
        <v>3.3333333333333335E-3</v>
      </c>
      <c r="H57" s="11">
        <f t="shared" si="9"/>
        <v>0</v>
      </c>
      <c r="I57" s="11">
        <f t="shared" si="10"/>
        <v>3.3333333333333335E-3</v>
      </c>
      <c r="J57" s="11">
        <f t="shared" si="11"/>
        <v>6.6666666666666671E-3</v>
      </c>
      <c r="K57" s="1">
        <v>0</v>
      </c>
      <c r="L57" s="1">
        <v>0</v>
      </c>
      <c r="M57" s="1">
        <v>1</v>
      </c>
      <c r="N57" s="1">
        <v>1</v>
      </c>
      <c r="O57" s="1">
        <f t="shared" si="21"/>
        <v>0</v>
      </c>
      <c r="P57" s="1">
        <f t="shared" si="22"/>
        <v>0</v>
      </c>
      <c r="Q57" s="1">
        <f t="shared" si="23"/>
        <v>0.3</v>
      </c>
      <c r="R57" s="1">
        <f t="shared" si="24"/>
        <v>0.3</v>
      </c>
      <c r="S57" s="4">
        <f t="shared" si="14"/>
        <v>0.2</v>
      </c>
      <c r="T57" s="4">
        <f t="shared" si="14"/>
        <v>0.5</v>
      </c>
      <c r="U57" s="4">
        <f t="shared" si="16"/>
        <v>0.5</v>
      </c>
      <c r="V57" s="4">
        <f t="shared" si="17"/>
        <v>0.5</v>
      </c>
      <c r="W57" s="1">
        <f t="shared" si="15"/>
        <v>0.3</v>
      </c>
      <c r="X57" s="1">
        <f t="shared" si="18"/>
        <v>0.3</v>
      </c>
      <c r="Y57" s="1">
        <f t="shared" si="19"/>
        <v>0</v>
      </c>
      <c r="Z57" s="1">
        <f t="shared" si="20"/>
        <v>0</v>
      </c>
    </row>
    <row r="58" spans="2:26" x14ac:dyDescent="0.45">
      <c r="B58" s="9">
        <v>0.89583333333333337</v>
      </c>
      <c r="C58" s="1">
        <v>0</v>
      </c>
      <c r="D58" s="1">
        <v>0</v>
      </c>
      <c r="E58" s="1">
        <v>0</v>
      </c>
      <c r="F58" s="1">
        <v>1</v>
      </c>
      <c r="G58" s="11">
        <f t="shared" si="8"/>
        <v>0</v>
      </c>
      <c r="H58" s="11">
        <f t="shared" si="9"/>
        <v>0</v>
      </c>
      <c r="I58" s="11">
        <f t="shared" si="10"/>
        <v>0</v>
      </c>
      <c r="J58" s="11">
        <f t="shared" si="11"/>
        <v>3.3333333333333335E-3</v>
      </c>
      <c r="K58" s="1">
        <v>0</v>
      </c>
      <c r="L58" s="1">
        <v>0</v>
      </c>
      <c r="M58" s="1">
        <v>0</v>
      </c>
      <c r="N58" s="1">
        <v>0</v>
      </c>
      <c r="O58" s="1">
        <f t="shared" si="21"/>
        <v>0</v>
      </c>
      <c r="P58" s="1">
        <f t="shared" si="22"/>
        <v>0</v>
      </c>
      <c r="Q58" s="1">
        <f t="shared" si="23"/>
        <v>0</v>
      </c>
      <c r="R58" s="1">
        <f t="shared" si="24"/>
        <v>0</v>
      </c>
      <c r="S58" s="4">
        <f t="shared" si="14"/>
        <v>0.5</v>
      </c>
      <c r="T58" s="4">
        <f t="shared" si="14"/>
        <v>0.8</v>
      </c>
      <c r="U58" s="4">
        <f t="shared" si="16"/>
        <v>0.2</v>
      </c>
      <c r="V58" s="4">
        <f t="shared" si="17"/>
        <v>0.2</v>
      </c>
      <c r="W58" s="1">
        <f t="shared" si="15"/>
        <v>0.3</v>
      </c>
      <c r="X58" s="1">
        <f t="shared" si="18"/>
        <v>0</v>
      </c>
      <c r="Y58" s="1">
        <f t="shared" si="19"/>
        <v>0.3</v>
      </c>
      <c r="Z58" s="1">
        <f t="shared" si="20"/>
        <v>0.3</v>
      </c>
    </row>
    <row r="59" spans="2:26" x14ac:dyDescent="0.45">
      <c r="B59" s="9">
        <v>0.91666666666666663</v>
      </c>
      <c r="C59" s="1">
        <v>0</v>
      </c>
      <c r="D59" s="1">
        <v>0</v>
      </c>
      <c r="E59" s="1">
        <v>0</v>
      </c>
      <c r="F59" s="1">
        <v>1</v>
      </c>
      <c r="G59" s="11">
        <f t="shared" si="8"/>
        <v>0</v>
      </c>
      <c r="H59" s="11">
        <f t="shared" si="9"/>
        <v>0</v>
      </c>
      <c r="I59" s="11">
        <f t="shared" si="10"/>
        <v>0</v>
      </c>
      <c r="J59" s="11">
        <f t="shared" si="11"/>
        <v>3.3333333333333335E-3</v>
      </c>
      <c r="K59" s="1">
        <v>0</v>
      </c>
      <c r="L59" s="1">
        <v>0</v>
      </c>
      <c r="M59" s="1">
        <v>0</v>
      </c>
      <c r="N59" s="1">
        <v>1</v>
      </c>
      <c r="O59" s="1">
        <f t="shared" si="21"/>
        <v>0</v>
      </c>
      <c r="P59" s="1">
        <f t="shared" si="22"/>
        <v>0</v>
      </c>
      <c r="Q59" s="1">
        <f t="shared" si="23"/>
        <v>0</v>
      </c>
      <c r="R59" s="1">
        <f t="shared" si="24"/>
        <v>0.3</v>
      </c>
      <c r="S59" s="4">
        <f t="shared" si="14"/>
        <v>0.8</v>
      </c>
      <c r="T59" s="4">
        <f t="shared" si="14"/>
        <v>0.8</v>
      </c>
      <c r="U59" s="4">
        <f t="shared" si="16"/>
        <v>0.5</v>
      </c>
      <c r="V59" s="4">
        <f t="shared" si="17"/>
        <v>0.5</v>
      </c>
      <c r="W59" s="1">
        <f t="shared" si="15"/>
        <v>0</v>
      </c>
      <c r="X59" s="1">
        <f t="shared" si="18"/>
        <v>0</v>
      </c>
      <c r="Y59" s="1">
        <f t="shared" si="19"/>
        <v>0.3</v>
      </c>
      <c r="Z59" s="1">
        <f t="shared" si="20"/>
        <v>0</v>
      </c>
    </row>
    <row r="60" spans="2:26" x14ac:dyDescent="0.45">
      <c r="B60" s="9">
        <v>0.9375</v>
      </c>
      <c r="C60" s="1">
        <v>0</v>
      </c>
      <c r="D60" s="1">
        <v>0</v>
      </c>
      <c r="E60" s="1">
        <v>0</v>
      </c>
      <c r="F60" s="1">
        <v>0</v>
      </c>
      <c r="G60" s="11">
        <f t="shared" si="8"/>
        <v>0</v>
      </c>
      <c r="H60" s="11">
        <f t="shared" si="9"/>
        <v>0</v>
      </c>
      <c r="I60" s="11">
        <f t="shared" si="10"/>
        <v>0</v>
      </c>
      <c r="J60" s="11">
        <f t="shared" si="11"/>
        <v>0</v>
      </c>
      <c r="K60" s="1">
        <v>0</v>
      </c>
      <c r="L60" s="1">
        <v>0</v>
      </c>
      <c r="M60" s="1">
        <v>0</v>
      </c>
      <c r="N60" s="1">
        <v>0</v>
      </c>
      <c r="O60" s="1">
        <f t="shared" si="21"/>
        <v>0</v>
      </c>
      <c r="P60" s="1">
        <f t="shared" si="22"/>
        <v>0</v>
      </c>
      <c r="Q60" s="1">
        <f t="shared" si="23"/>
        <v>0</v>
      </c>
      <c r="R60" s="1">
        <f t="shared" si="24"/>
        <v>0</v>
      </c>
      <c r="S60" s="4">
        <f t="shared" si="14"/>
        <v>0.8</v>
      </c>
      <c r="T60" s="4">
        <f t="shared" si="14"/>
        <v>0.8</v>
      </c>
      <c r="U60" s="4">
        <f t="shared" si="16"/>
        <v>0.8</v>
      </c>
      <c r="V60" s="4">
        <f t="shared" si="17"/>
        <v>0.2</v>
      </c>
      <c r="W60" s="1">
        <f t="shared" si="15"/>
        <v>0</v>
      </c>
      <c r="X60" s="1">
        <f t="shared" si="18"/>
        <v>0</v>
      </c>
      <c r="Y60" s="1">
        <f t="shared" si="19"/>
        <v>0</v>
      </c>
      <c r="Z60" s="1">
        <f t="shared" si="20"/>
        <v>0.3</v>
      </c>
    </row>
    <row r="61" spans="2:26" x14ac:dyDescent="0.45">
      <c r="B61" s="9">
        <v>0.95833333333333337</v>
      </c>
      <c r="C61" s="1">
        <v>0</v>
      </c>
      <c r="D61" s="1">
        <v>0</v>
      </c>
      <c r="E61" s="1">
        <v>0</v>
      </c>
      <c r="F61" s="1">
        <v>0</v>
      </c>
      <c r="G61" s="11">
        <f t="shared" si="8"/>
        <v>0</v>
      </c>
      <c r="H61" s="11">
        <f t="shared" si="9"/>
        <v>0</v>
      </c>
      <c r="I61" s="11">
        <f t="shared" si="10"/>
        <v>0</v>
      </c>
      <c r="J61" s="11">
        <f t="shared" si="11"/>
        <v>0</v>
      </c>
      <c r="K61" s="1">
        <v>0</v>
      </c>
      <c r="L61" s="1">
        <v>0</v>
      </c>
      <c r="M61" s="1">
        <v>0</v>
      </c>
      <c r="N61" s="1">
        <v>0</v>
      </c>
      <c r="O61" s="1">
        <f t="shared" si="21"/>
        <v>0</v>
      </c>
      <c r="P61" s="1">
        <f t="shared" si="22"/>
        <v>0</v>
      </c>
      <c r="Q61" s="1">
        <f t="shared" si="23"/>
        <v>0</v>
      </c>
      <c r="R61" s="1">
        <f t="shared" si="24"/>
        <v>0</v>
      </c>
      <c r="S61" s="4">
        <f t="shared" si="14"/>
        <v>0.8</v>
      </c>
      <c r="T61" s="4">
        <f t="shared" si="14"/>
        <v>0.8</v>
      </c>
      <c r="U61" s="4">
        <f t="shared" si="16"/>
        <v>0.8</v>
      </c>
      <c r="V61" s="4">
        <f t="shared" si="17"/>
        <v>0.5</v>
      </c>
      <c r="W61" s="1">
        <f t="shared" si="15"/>
        <v>0</v>
      </c>
      <c r="X61" s="1">
        <f t="shared" si="18"/>
        <v>0</v>
      </c>
      <c r="Y61" s="1">
        <f t="shared" si="19"/>
        <v>0</v>
      </c>
      <c r="Z61" s="1">
        <f t="shared" si="20"/>
        <v>0.3</v>
      </c>
    </row>
    <row r="62" spans="2:26" x14ac:dyDescent="0.45">
      <c r="B62" s="9">
        <v>0.97916666666666663</v>
      </c>
      <c r="C62" s="1">
        <v>0</v>
      </c>
      <c r="D62" s="1">
        <v>0</v>
      </c>
      <c r="E62" s="1">
        <v>0</v>
      </c>
      <c r="F62" s="1">
        <v>0</v>
      </c>
      <c r="G62" s="11">
        <f t="shared" si="8"/>
        <v>0</v>
      </c>
      <c r="H62" s="11">
        <f t="shared" si="9"/>
        <v>0</v>
      </c>
      <c r="I62" s="11">
        <f t="shared" si="10"/>
        <v>0</v>
      </c>
      <c r="J62" s="11">
        <f t="shared" si="11"/>
        <v>0</v>
      </c>
      <c r="K62" s="1">
        <v>0</v>
      </c>
      <c r="L62" s="1">
        <v>0</v>
      </c>
      <c r="M62" s="1">
        <v>0</v>
      </c>
      <c r="N62" s="1">
        <v>0</v>
      </c>
      <c r="O62" s="1">
        <f t="shared" si="21"/>
        <v>0</v>
      </c>
      <c r="P62" s="1">
        <f t="shared" si="22"/>
        <v>0</v>
      </c>
      <c r="Q62" s="1">
        <f t="shared" si="23"/>
        <v>0</v>
      </c>
      <c r="R62" s="1">
        <f t="shared" si="24"/>
        <v>0</v>
      </c>
      <c r="S62" s="4">
        <f t="shared" si="14"/>
        <v>0.8</v>
      </c>
      <c r="T62" s="4">
        <f t="shared" si="14"/>
        <v>0.8</v>
      </c>
      <c r="U62" s="4">
        <f t="shared" si="16"/>
        <v>0.8</v>
      </c>
      <c r="V62" s="4">
        <f t="shared" si="17"/>
        <v>0.8</v>
      </c>
      <c r="W62" s="1">
        <f t="shared" si="15"/>
        <v>0</v>
      </c>
      <c r="X62" s="1">
        <f t="shared" si="18"/>
        <v>0</v>
      </c>
      <c r="Y62" s="1">
        <f t="shared" si="19"/>
        <v>0</v>
      </c>
      <c r="Z62" s="1">
        <f t="shared" si="20"/>
        <v>0</v>
      </c>
    </row>
    <row r="63" spans="2:26" x14ac:dyDescent="0.45">
      <c r="B63" s="10" t="s">
        <v>33</v>
      </c>
      <c r="C63" s="8">
        <v>300</v>
      </c>
      <c r="D63" s="8">
        <v>300</v>
      </c>
      <c r="E63" s="8">
        <v>300</v>
      </c>
      <c r="F63" s="8">
        <v>300</v>
      </c>
      <c r="G63" s="11">
        <f t="shared" si="8"/>
        <v>1</v>
      </c>
      <c r="H63" s="11">
        <f t="shared" si="9"/>
        <v>1</v>
      </c>
      <c r="I63" s="11">
        <f t="shared" si="10"/>
        <v>1</v>
      </c>
      <c r="J63" s="11">
        <f t="shared" si="11"/>
        <v>1</v>
      </c>
      <c r="O63" s="1">
        <f t="shared" si="21"/>
        <v>0</v>
      </c>
      <c r="P63" s="1">
        <f t="shared" si="22"/>
        <v>0</v>
      </c>
      <c r="Q63" s="1">
        <f t="shared" si="23"/>
        <v>0</v>
      </c>
      <c r="R63" s="1">
        <f t="shared" si="24"/>
        <v>0</v>
      </c>
      <c r="S63" s="4">
        <f t="shared" si="14"/>
        <v>0.8</v>
      </c>
      <c r="T63" s="4">
        <f t="shared" si="14"/>
        <v>0.8</v>
      </c>
      <c r="U63" s="4">
        <f t="shared" si="16"/>
        <v>0.8</v>
      </c>
      <c r="V63" s="4">
        <f t="shared" si="17"/>
        <v>0.8</v>
      </c>
      <c r="W63" s="1">
        <f t="shared" si="15"/>
        <v>0</v>
      </c>
      <c r="X63" s="1">
        <f t="shared" si="18"/>
        <v>0</v>
      </c>
      <c r="Y63" s="1">
        <f t="shared" si="19"/>
        <v>0</v>
      </c>
      <c r="Z63" s="1">
        <f t="shared" si="20"/>
        <v>0</v>
      </c>
    </row>
  </sheetData>
  <conditionalFormatting sqref="G15:J63">
    <cfRule type="cellIs" dxfId="1" priority="1" operator="greaterThan">
      <formula>0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6E78E-A179-4A22-82C1-62D66147528B}">
  <dimension ref="B1:N38"/>
  <sheetViews>
    <sheetView workbookViewId="0">
      <selection activeCell="L23" sqref="L23"/>
    </sheetView>
  </sheetViews>
  <sheetFormatPr defaultColWidth="9.15625" defaultRowHeight="11.7" x14ac:dyDescent="0.45"/>
  <cols>
    <col min="1" max="1" width="9.15625" style="1"/>
    <col min="2" max="2" width="45.68359375" style="1" customWidth="1"/>
    <col min="3" max="3" width="15.83984375" style="1" bestFit="1" customWidth="1"/>
    <col min="4" max="4" width="12.83984375" style="1" customWidth="1"/>
    <col min="5" max="5" width="13.26171875" style="1" bestFit="1" customWidth="1"/>
    <col min="6" max="16384" width="9.15625" style="1"/>
  </cols>
  <sheetData>
    <row r="1" spans="2:14" x14ac:dyDescent="0.45">
      <c r="C1" s="1" t="s">
        <v>53</v>
      </c>
      <c r="G1" s="1" t="s">
        <v>46</v>
      </c>
      <c r="K1" s="1" t="s">
        <v>47</v>
      </c>
    </row>
    <row r="2" spans="2:14" x14ac:dyDescent="0.45">
      <c r="B2" s="6" t="s">
        <v>31</v>
      </c>
      <c r="C2" s="6" t="s">
        <v>29</v>
      </c>
      <c r="D2" s="6" t="s">
        <v>27</v>
      </c>
      <c r="E2" s="6" t="s">
        <v>30</v>
      </c>
      <c r="F2" s="6" t="s">
        <v>28</v>
      </c>
      <c r="G2" s="6" t="s">
        <v>29</v>
      </c>
      <c r="H2" s="6" t="s">
        <v>27</v>
      </c>
      <c r="I2" s="6" t="s">
        <v>30</v>
      </c>
      <c r="J2" s="6" t="s">
        <v>28</v>
      </c>
      <c r="K2" s="6" t="s">
        <v>29</v>
      </c>
      <c r="L2" s="6" t="s">
        <v>27</v>
      </c>
      <c r="M2" s="6" t="s">
        <v>30</v>
      </c>
      <c r="N2" s="6" t="s">
        <v>28</v>
      </c>
    </row>
    <row r="3" spans="2:14" x14ac:dyDescent="0.45">
      <c r="B3" s="7" t="s">
        <v>38</v>
      </c>
      <c r="C3" s="1">
        <v>0</v>
      </c>
      <c r="D3" s="1">
        <v>0</v>
      </c>
      <c r="E3" s="1">
        <v>2</v>
      </c>
      <c r="F3" s="1">
        <v>0</v>
      </c>
      <c r="G3" s="11">
        <f>+C3/C$15</f>
        <v>0</v>
      </c>
      <c r="H3" s="11">
        <f t="shared" ref="H3:J15" si="0">+D3/D$15</f>
        <v>0</v>
      </c>
      <c r="I3" s="11">
        <f t="shared" si="0"/>
        <v>6.6666666666666671E-3</v>
      </c>
      <c r="J3" s="11">
        <f t="shared" si="0"/>
        <v>0</v>
      </c>
      <c r="M3" s="1">
        <v>1</v>
      </c>
    </row>
    <row r="4" spans="2:14" x14ac:dyDescent="0.45">
      <c r="B4" s="7" t="s">
        <v>39</v>
      </c>
      <c r="C4" s="1">
        <v>0</v>
      </c>
      <c r="D4" s="1">
        <v>0</v>
      </c>
      <c r="E4" s="1">
        <v>0</v>
      </c>
      <c r="F4" s="1">
        <v>0</v>
      </c>
      <c r="G4" s="11">
        <f t="shared" ref="G4:G15" si="1">+C4/C$15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</row>
    <row r="5" spans="2:14" x14ac:dyDescent="0.45">
      <c r="B5" s="7" t="s">
        <v>40</v>
      </c>
      <c r="C5" s="1">
        <v>0</v>
      </c>
      <c r="D5" s="1">
        <v>0</v>
      </c>
      <c r="E5" s="1">
        <v>0</v>
      </c>
      <c r="F5" s="1">
        <v>0</v>
      </c>
      <c r="G5" s="11">
        <f t="shared" si="1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</row>
    <row r="6" spans="2:14" x14ac:dyDescent="0.45">
      <c r="B6" s="7" t="s">
        <v>41</v>
      </c>
      <c r="C6" s="1">
        <v>0</v>
      </c>
      <c r="D6" s="1">
        <v>0</v>
      </c>
      <c r="E6" s="1">
        <v>2</v>
      </c>
      <c r="F6" s="1">
        <v>0</v>
      </c>
      <c r="G6" s="11">
        <f t="shared" si="1"/>
        <v>0</v>
      </c>
      <c r="H6" s="11">
        <f t="shared" si="0"/>
        <v>0</v>
      </c>
      <c r="I6" s="11">
        <f t="shared" si="0"/>
        <v>6.6666666666666671E-3</v>
      </c>
      <c r="J6" s="11">
        <f t="shared" si="0"/>
        <v>0</v>
      </c>
    </row>
    <row r="7" spans="2:14" x14ac:dyDescent="0.45">
      <c r="B7" s="7" t="s">
        <v>42</v>
      </c>
      <c r="C7" s="1">
        <v>29</v>
      </c>
      <c r="D7" s="1">
        <v>27</v>
      </c>
      <c r="E7" s="1">
        <v>19</v>
      </c>
      <c r="F7" s="1">
        <v>80</v>
      </c>
      <c r="G7" s="11">
        <f t="shared" si="1"/>
        <v>9.6666666666666665E-2</v>
      </c>
      <c r="H7" s="11">
        <f t="shared" si="0"/>
        <v>0.09</v>
      </c>
      <c r="I7" s="11">
        <f t="shared" si="0"/>
        <v>6.3333333333333339E-2</v>
      </c>
      <c r="J7" s="11">
        <f t="shared" si="0"/>
        <v>0.26666666666666666</v>
      </c>
      <c r="K7" s="1">
        <v>1</v>
      </c>
      <c r="L7" s="1">
        <v>1</v>
      </c>
      <c r="M7" s="1">
        <v>1</v>
      </c>
      <c r="N7" s="1">
        <v>1</v>
      </c>
    </row>
    <row r="8" spans="2:14" x14ac:dyDescent="0.45">
      <c r="B8" s="7" t="s">
        <v>43</v>
      </c>
      <c r="C8" s="1">
        <v>90</v>
      </c>
      <c r="D8" s="1">
        <v>91</v>
      </c>
      <c r="E8" s="1">
        <v>17</v>
      </c>
      <c r="F8" s="1">
        <v>59</v>
      </c>
      <c r="G8" s="11">
        <f t="shared" si="1"/>
        <v>0.3</v>
      </c>
      <c r="H8" s="11">
        <f t="shared" si="0"/>
        <v>0.30333333333333334</v>
      </c>
      <c r="I8" s="11">
        <f t="shared" si="0"/>
        <v>5.6666666666666664E-2</v>
      </c>
      <c r="J8" s="11">
        <f t="shared" si="0"/>
        <v>0.19666666666666666</v>
      </c>
      <c r="K8" s="1">
        <v>1</v>
      </c>
      <c r="L8" s="1">
        <v>1</v>
      </c>
      <c r="M8" s="1">
        <v>1</v>
      </c>
      <c r="N8" s="1">
        <v>1</v>
      </c>
    </row>
    <row r="9" spans="2:14" x14ac:dyDescent="0.45">
      <c r="B9" s="7" t="s">
        <v>32</v>
      </c>
      <c r="C9" s="1">
        <v>97</v>
      </c>
      <c r="D9" s="1">
        <v>75</v>
      </c>
      <c r="E9" s="1">
        <v>71</v>
      </c>
      <c r="F9" s="1">
        <v>49</v>
      </c>
      <c r="G9" s="11">
        <f t="shared" si="1"/>
        <v>0.32333333333333331</v>
      </c>
      <c r="H9" s="11">
        <f t="shared" si="0"/>
        <v>0.25</v>
      </c>
      <c r="I9" s="11">
        <f t="shared" si="0"/>
        <v>0.23666666666666666</v>
      </c>
      <c r="J9" s="11">
        <f t="shared" si="0"/>
        <v>0.16333333333333333</v>
      </c>
      <c r="K9" s="1">
        <v>1</v>
      </c>
      <c r="L9" s="1">
        <v>1</v>
      </c>
      <c r="M9" s="1">
        <v>1</v>
      </c>
      <c r="N9" s="1">
        <v>1</v>
      </c>
    </row>
    <row r="10" spans="2:14" x14ac:dyDescent="0.45">
      <c r="B10" s="7" t="s">
        <v>44</v>
      </c>
      <c r="C10" s="1">
        <v>78</v>
      </c>
      <c r="D10" s="1">
        <v>90</v>
      </c>
      <c r="E10" s="1">
        <v>65</v>
      </c>
      <c r="F10" s="1">
        <v>74</v>
      </c>
      <c r="G10" s="11">
        <f t="shared" si="1"/>
        <v>0.26</v>
      </c>
      <c r="H10" s="11">
        <f t="shared" si="0"/>
        <v>0.3</v>
      </c>
      <c r="I10" s="11">
        <f t="shared" si="0"/>
        <v>0.21666666666666667</v>
      </c>
      <c r="J10" s="11">
        <f t="shared" si="0"/>
        <v>0.24666666666666667</v>
      </c>
      <c r="K10" s="1">
        <v>1</v>
      </c>
      <c r="L10" s="1">
        <v>1</v>
      </c>
      <c r="M10" s="1">
        <v>1</v>
      </c>
      <c r="N10" s="1">
        <v>1</v>
      </c>
    </row>
    <row r="11" spans="2:14" x14ac:dyDescent="0.45">
      <c r="B11" s="7" t="s">
        <v>34</v>
      </c>
      <c r="C11" s="1">
        <v>6</v>
      </c>
      <c r="D11" s="1">
        <v>17</v>
      </c>
      <c r="E11" s="1">
        <v>17</v>
      </c>
      <c r="F11" s="1">
        <v>21</v>
      </c>
      <c r="G11" s="11">
        <f t="shared" si="1"/>
        <v>0.02</v>
      </c>
      <c r="H11" s="11">
        <f t="shared" si="0"/>
        <v>5.6666666666666664E-2</v>
      </c>
      <c r="I11" s="11">
        <f t="shared" si="0"/>
        <v>5.6666666666666664E-2</v>
      </c>
      <c r="J11" s="11">
        <f t="shared" si="0"/>
        <v>7.0000000000000007E-2</v>
      </c>
      <c r="K11" s="1">
        <v>1</v>
      </c>
      <c r="L11" s="1">
        <v>1</v>
      </c>
      <c r="M11" s="1">
        <v>1</v>
      </c>
      <c r="N11" s="1">
        <v>1</v>
      </c>
    </row>
    <row r="12" spans="2:14" x14ac:dyDescent="0.45">
      <c r="B12" s="7" t="s">
        <v>35</v>
      </c>
      <c r="C12" s="1">
        <v>0</v>
      </c>
      <c r="D12" s="1">
        <v>0</v>
      </c>
      <c r="E12" s="1">
        <v>1</v>
      </c>
      <c r="F12" s="1">
        <v>17</v>
      </c>
      <c r="G12" s="11">
        <f t="shared" si="1"/>
        <v>0</v>
      </c>
      <c r="H12" s="11">
        <f t="shared" si="0"/>
        <v>0</v>
      </c>
      <c r="I12" s="11">
        <f t="shared" si="0"/>
        <v>3.3333333333333335E-3</v>
      </c>
      <c r="J12" s="11">
        <f t="shared" si="0"/>
        <v>5.6666666666666664E-2</v>
      </c>
      <c r="M12" s="1">
        <v>1</v>
      </c>
      <c r="N12" s="1">
        <v>1</v>
      </c>
    </row>
    <row r="13" spans="2:14" x14ac:dyDescent="0.45">
      <c r="B13" s="7" t="s">
        <v>36</v>
      </c>
      <c r="C13" s="1">
        <v>0</v>
      </c>
      <c r="D13" s="1">
        <v>0</v>
      </c>
      <c r="E13" s="1">
        <v>0</v>
      </c>
      <c r="F13" s="1">
        <v>0</v>
      </c>
      <c r="G13" s="11">
        <f t="shared" si="1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</row>
    <row r="14" spans="2:14" x14ac:dyDescent="0.45">
      <c r="B14" s="7" t="s">
        <v>37</v>
      </c>
      <c r="C14" s="1">
        <v>0</v>
      </c>
      <c r="D14" s="1">
        <v>0</v>
      </c>
      <c r="E14" s="1">
        <v>106</v>
      </c>
      <c r="F14" s="1">
        <v>0</v>
      </c>
      <c r="G14" s="11">
        <f t="shared" si="1"/>
        <v>0</v>
      </c>
      <c r="H14" s="11">
        <f t="shared" si="0"/>
        <v>0</v>
      </c>
      <c r="I14" s="11">
        <f t="shared" si="0"/>
        <v>0.35333333333333333</v>
      </c>
      <c r="J14" s="11">
        <f t="shared" si="0"/>
        <v>0</v>
      </c>
      <c r="M14" s="1">
        <v>1</v>
      </c>
    </row>
    <row r="15" spans="2:14" x14ac:dyDescent="0.45">
      <c r="B15" s="26" t="s">
        <v>33</v>
      </c>
      <c r="C15" s="8">
        <v>300</v>
      </c>
      <c r="D15" s="8">
        <v>300</v>
      </c>
      <c r="E15" s="8">
        <v>300</v>
      </c>
      <c r="F15" s="8">
        <v>300</v>
      </c>
      <c r="G15" s="11">
        <f t="shared" si="1"/>
        <v>1</v>
      </c>
      <c r="H15" s="11">
        <f t="shared" si="0"/>
        <v>1</v>
      </c>
      <c r="I15" s="11">
        <f t="shared" si="0"/>
        <v>1</v>
      </c>
      <c r="J15" s="11">
        <f t="shared" si="0"/>
        <v>1</v>
      </c>
      <c r="K15" s="11">
        <f>+SUM(K3:K14)</f>
        <v>5</v>
      </c>
      <c r="L15" s="11">
        <f t="shared" ref="L15:N15" si="2">+SUM(L3:L14)</f>
        <v>5</v>
      </c>
      <c r="M15" s="11">
        <f t="shared" si="2"/>
        <v>8</v>
      </c>
      <c r="N15" s="11">
        <f t="shared" si="2"/>
        <v>6</v>
      </c>
    </row>
    <row r="16" spans="2:14" x14ac:dyDescent="0.45">
      <c r="D16" s="7"/>
    </row>
    <row r="17" spans="2:12" x14ac:dyDescent="0.45">
      <c r="D17" s="7"/>
    </row>
    <row r="18" spans="2:12" x14ac:dyDescent="0.45">
      <c r="B18" s="1" t="s">
        <v>81</v>
      </c>
      <c r="D18" s="7"/>
      <c r="H18" s="1">
        <v>753</v>
      </c>
    </row>
    <row r="19" spans="2:12" x14ac:dyDescent="0.45">
      <c r="B19" s="29" t="s">
        <v>78</v>
      </c>
      <c r="C19" s="29" t="s">
        <v>69</v>
      </c>
      <c r="D19" s="30" t="s">
        <v>79</v>
      </c>
      <c r="E19" s="29" t="s">
        <v>80</v>
      </c>
    </row>
    <row r="20" spans="2:12" x14ac:dyDescent="0.45">
      <c r="B20" s="1" t="s">
        <v>76</v>
      </c>
      <c r="C20" s="1" t="s">
        <v>2</v>
      </c>
      <c r="D20" s="2">
        <v>108.517793584112</v>
      </c>
      <c r="E20" s="2">
        <v>4454853.83</v>
      </c>
      <c r="F20" s="1">
        <f>+E20/SUM($E$20:$E$25)</f>
        <v>5.7758344440491253E-3</v>
      </c>
      <c r="G20" s="2">
        <f>+D20-D22</f>
        <v>38.980335927913799</v>
      </c>
      <c r="H20" s="1">
        <f>+F20/(F23+F20)</f>
        <v>4.8041907231192768E-2</v>
      </c>
      <c r="I20" s="1">
        <f>+H18/2</f>
        <v>376.5</v>
      </c>
      <c r="J20" s="1">
        <f>+I20*G20</f>
        <v>14676.096476859546</v>
      </c>
      <c r="L20" s="1">
        <f>+H20</f>
        <v>4.8041907231192768E-2</v>
      </c>
    </row>
    <row r="21" spans="2:12" x14ac:dyDescent="0.45">
      <c r="B21" s="1" t="s">
        <v>76</v>
      </c>
      <c r="C21" s="1" t="s">
        <v>55</v>
      </c>
      <c r="D21" s="2">
        <v>97.334158992265202</v>
      </c>
      <c r="E21" s="2">
        <v>54774943.042000003</v>
      </c>
      <c r="F21" s="1">
        <f t="shared" ref="F21:F25" si="3">+E21/SUM($E$20:$E$25)</f>
        <v>7.1017145514920874E-2</v>
      </c>
      <c r="G21" s="2"/>
    </row>
    <row r="22" spans="2:12" x14ac:dyDescent="0.45">
      <c r="B22" s="1" t="s">
        <v>76</v>
      </c>
      <c r="C22" s="1" t="s">
        <v>56</v>
      </c>
      <c r="D22" s="2">
        <v>69.5374576561982</v>
      </c>
      <c r="E22" s="2">
        <v>276074978.96200001</v>
      </c>
      <c r="F22" s="1">
        <f t="shared" si="3"/>
        <v>0.35793842704573253</v>
      </c>
      <c r="G22" s="2"/>
    </row>
    <row r="23" spans="2:12" x14ac:dyDescent="0.45">
      <c r="B23" s="1" t="s">
        <v>77</v>
      </c>
      <c r="C23" s="1" t="s">
        <v>2</v>
      </c>
      <c r="D23" s="2">
        <v>105.723202351876</v>
      </c>
      <c r="E23" s="2">
        <v>88273642.741999999</v>
      </c>
      <c r="F23" s="1">
        <f t="shared" si="3"/>
        <v>0.11444908535886364</v>
      </c>
      <c r="G23" s="2">
        <f>+D23-D25</f>
        <v>44.083035562386698</v>
      </c>
      <c r="H23" s="1">
        <f>1-H20</f>
        <v>0.95195809276880727</v>
      </c>
      <c r="I23" s="1">
        <f>+H18/2</f>
        <v>376.5</v>
      </c>
      <c r="J23" s="1">
        <f>+I23*G23</f>
        <v>16597.262889238591</v>
      </c>
      <c r="L23" s="1">
        <v>0.5</v>
      </c>
    </row>
    <row r="24" spans="2:12" x14ac:dyDescent="0.45">
      <c r="B24" s="1" t="s">
        <v>77</v>
      </c>
      <c r="C24" s="1" t="s">
        <v>55</v>
      </c>
      <c r="D24" s="2">
        <v>75.732806706366006</v>
      </c>
      <c r="E24" s="2">
        <v>107423319.708</v>
      </c>
      <c r="F24" s="1">
        <f t="shared" si="3"/>
        <v>0.13927714213320611</v>
      </c>
      <c r="G24" s="2"/>
      <c r="H24" s="2"/>
    </row>
    <row r="25" spans="2:12" x14ac:dyDescent="0.45">
      <c r="B25" s="31" t="s">
        <v>77</v>
      </c>
      <c r="C25" s="31" t="s">
        <v>56</v>
      </c>
      <c r="D25" s="32">
        <v>61.6401667894893</v>
      </c>
      <c r="E25" s="32">
        <v>240290076.458</v>
      </c>
      <c r="F25" s="1">
        <f t="shared" si="3"/>
        <v>0.31154236550322778</v>
      </c>
    </row>
    <row r="26" spans="2:12" x14ac:dyDescent="0.45">
      <c r="D26" s="7"/>
    </row>
    <row r="27" spans="2:12" x14ac:dyDescent="0.45">
      <c r="D27" s="7"/>
    </row>
    <row r="28" spans="2:12" x14ac:dyDescent="0.45">
      <c r="D28" s="7"/>
    </row>
    <row r="29" spans="2:12" x14ac:dyDescent="0.45">
      <c r="B29" s="1" t="s">
        <v>70</v>
      </c>
      <c r="D29" s="7"/>
    </row>
    <row r="30" spans="2:12" x14ac:dyDescent="0.45">
      <c r="B30" s="29" t="s">
        <v>4</v>
      </c>
      <c r="C30" s="29" t="s">
        <v>71</v>
      </c>
      <c r="D30" s="30" t="s">
        <v>72</v>
      </c>
    </row>
    <row r="31" spans="2:12" x14ac:dyDescent="0.45">
      <c r="B31" s="27" t="s">
        <v>55</v>
      </c>
      <c r="C31" s="3">
        <f>+(D21-D22)*E21</f>
        <v>1522562732.4385555</v>
      </c>
      <c r="D31" s="28">
        <f>+((D24-D25)*E24)+C31</f>
        <v>3036440895.7589245</v>
      </c>
      <c r="E31" s="62">
        <f>+C31/D31</f>
        <v>0.50143005732967116</v>
      </c>
    </row>
    <row r="32" spans="2:12" x14ac:dyDescent="0.45">
      <c r="B32" s="1" t="s">
        <v>2</v>
      </c>
      <c r="C32" s="3">
        <f>+(D20-D21)*E20</f>
        <v>49821457.394809194</v>
      </c>
      <c r="D32" s="28">
        <f>+((D23-D25)*E23)+C32</f>
        <v>3941191589.6118135</v>
      </c>
      <c r="E32" s="2"/>
    </row>
    <row r="33" spans="2:4" x14ac:dyDescent="0.45">
      <c r="B33" s="31" t="s">
        <v>3</v>
      </c>
      <c r="C33" s="33">
        <f>+C32+C31</f>
        <v>1572384189.8333647</v>
      </c>
      <c r="D33" s="34">
        <f>+D32+D31</f>
        <v>6977632485.370738</v>
      </c>
    </row>
    <row r="34" spans="2:4" x14ac:dyDescent="0.45">
      <c r="D34" s="7"/>
    </row>
    <row r="35" spans="2:4" x14ac:dyDescent="0.45">
      <c r="B35" s="1" t="s">
        <v>73</v>
      </c>
      <c r="C35" s="35">
        <f>+C33/D33</f>
        <v>0.22534637545471417</v>
      </c>
      <c r="D35" s="7"/>
    </row>
    <row r="36" spans="2:4" x14ac:dyDescent="0.45">
      <c r="B36" s="1" t="s">
        <v>106</v>
      </c>
      <c r="D36" s="7"/>
    </row>
    <row r="37" spans="2:4" x14ac:dyDescent="0.45">
      <c r="B37" s="1" t="s">
        <v>107</v>
      </c>
      <c r="C37" s="50">
        <f>+C32/C33</f>
        <v>3.168529530946828E-2</v>
      </c>
      <c r="D37" s="7"/>
    </row>
    <row r="38" spans="2:4" x14ac:dyDescent="0.45">
      <c r="D38" s="7"/>
    </row>
  </sheetData>
  <conditionalFormatting sqref="G3:J14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Battery assumptions - AoB model</vt:lpstr>
      <vt:lpstr>RCPD probability by hour</vt:lpstr>
      <vt:lpstr>RCPD probability by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Stephenson</dc:creator>
  <cp:lastModifiedBy>John Stephenson</cp:lastModifiedBy>
  <dcterms:created xsi:type="dcterms:W3CDTF">2019-02-27T02:49:00Z</dcterms:created>
  <dcterms:modified xsi:type="dcterms:W3CDTF">2019-07-05T00:43:05Z</dcterms:modified>
</cp:coreProperties>
</file>